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9E258C95-6194-4A7E-BF52-3485A3725F48}"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U4" i="78" l="1"/>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<sst xmlns="http://schemas.openxmlformats.org/spreadsheetml/2006/main" count="1704" uniqueCount="955">
  <si>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</si>
  <si>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</si>
  <si>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</si>
  <si>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</si>
  <si>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</si>
  <si>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</si>
  <si>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</si>
  <si>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</si>
  <si>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</si>
  <si>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</si>
  <si>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</si>
  <si>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</si>
  <si>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</si>
  <si>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</si>
  <si>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</si>
  <si>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</si>
  <si>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</si>
  <si>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</si>
  <si>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</si>
  <si>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</si>
  <si>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</si>
  <si>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</si>
  <si>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</si>
  <si>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</si>
  <si>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</si>
  <si>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</si>
  <si>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</si>
  <si>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</si>
  <si>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</si>
  <si>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</si>
  <si>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</si>
  <si>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</si>
  <si>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</si>
  <si>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</si>
  <si>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</si>
  <si>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</si>
  <si>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</si>
  <si>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</si>
  <si>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</si>
  <si>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</si>
  <si>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</si>
  <si>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</si>
  <si>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</si>
  <si>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</si>
  <si>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</si>
  <si>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</si>
  <si>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</si>
  <si>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</si>
  <si>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</si>
  <si>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</si>
  <si>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</si>
  <si>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</si>
  <si>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</si>
  <si>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</si>
  <si>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</si>
  <si>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</si>
  <si>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</si>
  <si>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</si>
  <si>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</si>
  <si>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</si>
  <si>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</si>
  <si>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</si>
  <si>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</si>
  <si>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</si>
  <si>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</si>
  <si>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</si>
  <si>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</si>
  <si>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</si>
  <si>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</si>
  <si>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</si>
  <si>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</si>
  <si>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</si>
  <si>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</si>
  <si>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</si>
  <si>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</si>
  <si>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</si>
  <si>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</si>
  <si>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</si>
  <si>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</si>
  <si>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</si>
  <si>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</si>
  <si>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</si>
  <si>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</si>
  <si>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</si>
  <si>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</si>
  <si>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</si>
  <si>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</si>
  <si>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</si>
  <si>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</si>
  <si>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</si>
  <si>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</si>
  <si>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</si>
  <si>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</si>
  <si>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</si>
  <si>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</si>
  <si>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</si>
  <si>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</si>
  <si>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</si>
  <si>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</si>
  <si>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</si>
  <si>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</si>
  <si>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</si>
  <si>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</si>
  <si>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</si>
  <si>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</si>
  <si>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</si>
  <si>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</si>
  <si>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</si>
  <si>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</si>
  <si>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</si>
  <si>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</si>
  <si>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</si>
  <si>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</si>
  <si>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</si>
  <si>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</si>
  <si>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</si>
  <si>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</si>
  <si>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</si>
  <si>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</si>
  <si>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</si>
  <si>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</si>
  <si>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</si>
  <si>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</si>
  <si>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</si>
  <si>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</si>
  <si>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</si>
  <si>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</si>
  <si>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</si>
  <si>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</si>
  <si>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</si>
  <si>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</si>
  <si>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</si>
  <si>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</si>
  <si>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</si>
  <si>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</si>
  <si>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</si>
  <si>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</si>
  <si>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</si>
  <si>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</si>
  <si>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</si>
  <si>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</si>
  <si>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</si>
  <si>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</si>
  <si>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</si>
  <si>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</si>
  <si>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</si>
  <si>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</si>
  <si>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</si>
  <si>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</si>
  <si>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</si>
  <si>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</si>
  <si>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</si>
  <si>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</si>
  <si>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</si>
  <si>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</si>
  <si>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</si>
  <si>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</si>
  <si>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</si>
  <si>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</si>
  <si>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</si>
  <si>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</si>
  <si>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</si>
  <si>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</si>
  <si>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</si>
  <si>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</si>
  <si>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</si>
  <si>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</si>
  <si>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</si>
  <si>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</si>
  <si>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</si>
  <si>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</si>
  <si>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</si>
  <si>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</si>
  <si>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</si>
  <si>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</si>
  <si>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</si>
  <si>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</si>
  <si>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</si>
  <si>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</si>
  <si>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</si>
  <si>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</si>
  <si>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</si>
  <si>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</si>
  <si>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</si>
  <si>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</si>
  <si>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</si>
  <si>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</si>
  <si>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</si>
  <si>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</si>
  <si>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</si>
  <si>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</si>
  <si>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</si>
  <si>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</si>
  <si>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</si>
  <si>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</si>
  <si>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</si>
  <si>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</si>
  <si>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</si>
  <si>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</si>
  <si>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</si>
  <si>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</si>
  <si>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</si>
  <si>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</si>
  <si>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</si>
  <si>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</si>
  <si>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</si>
  <si>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</si>
  <si>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</si>
  <si>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</si>
  <si>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</si>
  <si>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</si>
  <si>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</si>
  <si>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</si>
  <si>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</si>
  <si>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</si>
  <si>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</si>
  <si>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</si>
  <si>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</si>
  <si>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</si>
  <si>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</si>
  <si>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</si>
  <si>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</si>
  <si>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</si>
  <si>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</si>
  <si>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</si>
  <si>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</si>
  <si>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</si>
  <si>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</si>
  <si>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</si>
  <si>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</si>
  <si>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</si>
  <si>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</si>
  <si>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</si>
  <si>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</si>
  <si>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</si>
  <si>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</si>
  <si>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</si>
  <si>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</si>
  <si>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</si>
  <si>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</si>
  <si>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</si>
  <si>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</si>
  <si>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</si>
  <si>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</si>
  <si>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</si>
  <si>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</si>
  <si>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</si>
  <si>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</si>
  <si>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</si>
  <si>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</si>
  <si>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</si>
  <si>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</si>
  <si>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</si>
  <si>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</si>
  <si>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</si>
  <si>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</si>
  <si>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</si>
  <si>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</si>
  <si>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</si>
  <si>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</si>
  <si>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</si>
  <si>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</si>
  <si>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</si>
  <si>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</si>
  <si>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</si>
  <si>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</si>
  <si>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</si>
  <si>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</si>
  <si>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</si>
  <si>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</si>
  <si>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</si>
  <si>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</si>
  <si>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</si>
  <si>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</si>
  <si>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</si>
  <si>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</si>
  <si>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</si>
  <si>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</si>
  <si>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</si>
  <si>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</si>
  <si>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</si>
  <si>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</si>
  <si>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</si>
  <si>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</si>
  <si>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</si>
  <si>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</si>
  <si>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</si>
  <si>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</si>
  <si>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</si>
  <si>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</si>
  <si>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</si>
  <si>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</si>
  <si>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</si>
  <si>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</si>
  <si>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</si>
  <si>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</si>
  <si>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</si>
  <si>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</si>
  <si>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</si>
  <si>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</si>
  <si>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</si>
  <si>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</si>
  <si>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</si>
  <si>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</si>
  <si>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</si>
  <si>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</si>
  <si>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</si>
  <si>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</si>
  <si>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</si>
  <si>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</si>
  <si>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</si>
  <si>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</si>
  <si>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</si>
  <si>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</si>
  <si>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</si>
  <si>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</si>
  <si>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</si>
  <si>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</si>
  <si>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</si>
  <si>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</si>
  <si>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</si>
  <si>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</si>
  <si>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</si>
  <si>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</si>
  <si>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</si>
  <si>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</si>
  <si>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</si>
  <si>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</si>
  <si>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</si>
  <si>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</si>
  <si>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</si>
  <si>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</si>
  <si>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</si>
  <si>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</si>
  <si>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</si>
  <si>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</si>
  <si>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</si>
  <si>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</si>
  <si>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</si>
  <si>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</si>
  <si>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</si>
  <si>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</si>
  <si>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</si>
  <si>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</si>
  <si>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</si>
  <si>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</si>
  <si>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</si>
  <si>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</si>
  <si>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</si>
  <si>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</si>
  <si>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</si>
  <si>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</si>
  <si>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</si>
  <si>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</si>
  <si>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</si>
  <si>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</si>
  <si>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</si>
  <si>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</si>
  <si>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</si>
  <si>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</si>
  <si>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</si>
  <si>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</si>
  <si>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</si>
  <si>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</si>
  <si>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</si>
  <si>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</si>
  <si>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</si>
  <si>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</si>
  <si>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</si>
  <si>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</si>
  <si>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</si>
  <si>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</si>
  <si>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</si>
  <si>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</si>
  <si>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</si>
  <si>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</si>
  <si>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</si>
  <si>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</si>
  <si>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</si>
  <si>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</si>
  <si>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</si>
  <si>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</si>
  <si>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</si>
  <si>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</si>
  <si>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</si>
  <si>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</si>
  <si>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</si>
  <si>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r>
      <rPr>
        <b/>
        <sz val="10"/>
        <color theme="1"/>
        <rFont val="Arial"/>
        <family val="2"/>
      </rPr>
      <t>Huancavelica</t>
    </r>
    <r>
      <rPr>
        <sz val="10"/>
        <color theme="1"/>
        <rFont val="Arial"/>
        <family val="2"/>
      </rPr>
      <t xml:space="preserve">
Castrovirreyna / Santa Ana</t>
    </r>
  </si>
  <si>
    <r>
      <rPr>
        <b/>
        <sz val="10"/>
        <rFont val="Arial"/>
        <family val="2"/>
      </rPr>
      <t>PVN</t>
    </r>
    <r>
      <rPr>
        <sz val="10"/>
        <rFont val="Arial"/>
        <family val="2"/>
      </rPr>
      <t xml:space="preserve">
Administración directa
Jefatura zonal Huancavelica
Ing. Zacarias Quispe Aparco - Jefe zonal
Correo: zquispe@pvn.gob.pe;</t>
    </r>
  </si>
  <si>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</si>
  <si>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</si>
  <si>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</si>
  <si>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</si>
  <si>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</si>
  <si>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</si>
  <si>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</si>
  <si>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</si>
  <si>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</si>
  <si>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</si>
  <si>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</si>
  <si>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</si>
  <si>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</si>
  <si>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</si>
  <si>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</si>
  <si>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</si>
  <si>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</si>
  <si>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</si>
  <si>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</si>
  <si>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</si>
  <si>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</si>
  <si>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</si>
  <si>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</si>
  <si>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</si>
  <si>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</si>
  <si>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</si>
  <si>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</si>
  <si>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</si>
  <si>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</si>
  <si>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</si>
  <si>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</si>
  <si>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</si>
  <si>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</si>
  <si>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</si>
  <si>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</si>
  <si>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</si>
  <si>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</si>
  <si>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</si>
  <si>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</si>
  <si>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</si>
  <si>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</si>
  <si>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</si>
  <si>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color theme="1"/>
        <rFont val="Arial"/>
        <family val="2"/>
      </rPr>
      <t xml:space="preserve">Áncash
</t>
    </r>
    <r>
      <rPr>
        <sz val="10"/>
        <color theme="1"/>
        <rFont val="Arial"/>
        <family val="2"/>
      </rPr>
      <t>Huari / Ponto</t>
    </r>
  </si>
  <si>
    <r>
      <t xml:space="preserve">Red Vial Nacional: PE-14A,
Tramo: </t>
    </r>
    <r>
      <rPr>
        <sz val="10"/>
        <rFont val="Arial"/>
        <family val="2"/>
      </rPr>
      <t xml:space="preserve">Culluchaca - Yunguilla,
</t>
    </r>
    <r>
      <rPr>
        <b/>
        <sz val="10"/>
        <rFont val="Arial"/>
        <family val="2"/>
      </rPr>
      <t xml:space="preserve">Sector: </t>
    </r>
    <r>
      <rPr>
        <sz val="10"/>
        <rFont val="Arial"/>
        <family val="2"/>
      </rPr>
      <t>Culluchaca Km 103+430 - Km 104+400</t>
    </r>
  </si>
  <si>
    <r>
      <rPr>
        <b/>
        <sz val="10"/>
        <rFont val="Arial"/>
        <family val="2"/>
      </rPr>
      <t>PVN</t>
    </r>
    <r>
      <rPr>
        <sz val="10"/>
        <rFont val="Arial"/>
        <family val="2"/>
      </rPr>
      <t xml:space="preserve">
Administración por contrato
Jefatura zonal Áncash
Ing.Henry Richard Silva Rimey - Jefe zonal
Correo: hsilva@pvn.gob.pe</t>
    </r>
  </si>
  <si>
    <t>Maquinaria del contratista ALVAC -JOHESA
01 Cargador frontal
01 Tractor neumático</t>
  </si>
  <si>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</si>
  <si>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</si>
  <si>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r>
      <t xml:space="preserve">Red Vial Nacional: PE-24A,
Tramo: </t>
    </r>
    <r>
      <rPr>
        <sz val="10"/>
        <rFont val="Arial"/>
        <family val="2"/>
      </rPr>
      <t xml:space="preserve">Comas - Satipo,
</t>
    </r>
    <r>
      <rPr>
        <b/>
        <sz val="10"/>
        <rFont val="Arial"/>
        <family val="2"/>
      </rPr>
      <t xml:space="preserve">Sector: </t>
    </r>
    <r>
      <rPr>
        <sz val="10"/>
        <rFont val="Arial"/>
        <family val="2"/>
      </rPr>
      <t>Mariposa- Calabaza- Pte. Carrizales Km 154+750 - Km 165+600</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</si>
  <si>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</si>
  <si>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</si>
  <si>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</si>
  <si>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</si>
  <si>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</si>
  <si>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</si>
  <si>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</si>
  <si>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</si>
  <si>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</si>
  <si>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</si>
  <si>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</si>
  <si>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</si>
  <si>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</si>
  <si>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</si>
  <si>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</si>
  <si>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</si>
  <si>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</si>
  <si>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</si>
  <si>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</si>
  <si>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</si>
  <si>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</si>
  <si>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</si>
  <si>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</si>
  <si>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</si>
  <si>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</si>
  <si>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</si>
  <si>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</si>
  <si>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</si>
  <si>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</si>
  <si>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</si>
  <si>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</si>
  <si>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</si>
  <si>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</si>
  <si>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</si>
  <si>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</si>
  <si>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</si>
  <si>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</si>
  <si>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</si>
  <si>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</si>
  <si>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</si>
  <si>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</si>
  <si>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</si>
  <si>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</si>
  <si>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</si>
  <si>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</si>
  <si>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</si>
  <si>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</si>
  <si>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</si>
  <si>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</si>
  <si>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</si>
  <si>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</si>
  <si>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</si>
  <si>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</si>
  <si>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</si>
  <si>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</si>
  <si>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</si>
  <si>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</si>
  <si>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</si>
  <si>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</si>
  <si>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</si>
  <si>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</si>
  <si>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</si>
  <si>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</si>
  <si>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</si>
  <si>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</si>
  <si>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</si>
  <si>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</si>
  <si>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</si>
  <si>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</si>
  <si>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</si>
  <si>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</si>
  <si>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</si>
  <si>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</si>
  <si>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</si>
  <si>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</si>
  <si>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</si>
  <si>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</si>
  <si>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</si>
  <si>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</si>
  <si>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</si>
  <si>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</si>
  <si>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</si>
  <si>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</si>
  <si>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</si>
  <si>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</si>
  <si>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</si>
  <si>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</si>
  <si>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</si>
  <si>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</si>
  <si>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</si>
  <si>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</si>
  <si>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</si>
  <si>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</si>
  <si>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</si>
  <si>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</si>
  <si>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</si>
  <si>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</si>
  <si>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</si>
  <si>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</si>
  <si>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</si>
  <si>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</si>
  <si>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</si>
  <si>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</si>
  <si>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</si>
  <si>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</si>
  <si>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</si>
  <si>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</si>
  <si>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</si>
  <si>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</si>
  <si>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</si>
  <si>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</si>
  <si>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</si>
  <si>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</si>
  <si>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</si>
  <si>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</si>
  <si>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</si>
  <si>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</si>
  <si>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</si>
  <si>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</si>
  <si>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</si>
  <si>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</si>
  <si>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</si>
  <si>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</si>
  <si>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</si>
  <si>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</si>
  <si>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</si>
  <si>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</si>
  <si>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</si>
  <si>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</si>
  <si>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</si>
  <si>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</si>
  <si>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</si>
  <si>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</si>
  <si>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</si>
  <si>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</si>
  <si>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</si>
  <si>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</si>
  <si>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</si>
  <si>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</si>
  <si>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</si>
  <si>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</si>
  <si>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</si>
  <si>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</si>
  <si>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</si>
  <si>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</si>
  <si>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</si>
  <si>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</si>
  <si>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</si>
  <si>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</si>
  <si>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</si>
  <si>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</si>
  <si>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</si>
  <si>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</si>
  <si>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</si>
  <si>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</si>
  <si>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</si>
  <si>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</si>
  <si>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</si>
  <si>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</si>
  <si>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</si>
  <si>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t xml:space="preserve">Red Vial Nacional: PE-28D, 
Tramo: </t>
    </r>
    <r>
      <rPr>
        <sz val="10"/>
        <rFont val="Arial"/>
        <family val="2"/>
      </rPr>
      <t xml:space="preserve">Choclococha - Pucapampa,
</t>
    </r>
    <r>
      <rPr>
        <b/>
        <sz val="10"/>
        <rFont val="Arial"/>
        <family val="2"/>
      </rPr>
      <t xml:space="preserve">Sector: </t>
    </r>
    <r>
      <rPr>
        <sz val="10"/>
        <rFont val="Arial"/>
        <family val="2"/>
      </rPr>
      <t>Choclococha - Pucapampa Km 121+500 - Km 131+500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</si>
  <si>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</si>
  <si>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</si>
  <si>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</si>
  <si>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</si>
  <si>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</si>
  <si>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</si>
  <si>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</si>
  <si>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</si>
  <si>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</si>
  <si>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</si>
  <si>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</si>
  <si>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</si>
  <si>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</si>
  <si>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</si>
  <si>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</si>
  <si>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</si>
  <si>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</si>
  <si>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</si>
  <si>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</si>
  <si>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</si>
  <si>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</si>
  <si>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</si>
  <si>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</si>
  <si>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</si>
  <si>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</si>
  <si>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</si>
  <si>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</si>
  <si>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</si>
  <si>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</si>
  <si>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</si>
  <si>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</si>
  <si>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</si>
  <si>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</si>
  <si>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</si>
  <si>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</si>
  <si>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</si>
  <si>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</si>
  <si>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</si>
  <si>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</si>
  <si>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</si>
  <si>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</si>
  <si>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</si>
  <si>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</si>
  <si>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</si>
  <si>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</si>
  <si>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</si>
  <si>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</si>
  <si>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</si>
  <si>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</si>
  <si>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</si>
  <si>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</si>
  <si>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</si>
  <si>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</si>
  <si>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</si>
  <si>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</si>
  <si>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</si>
  <si>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</si>
  <si>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</si>
  <si>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</si>
  <si>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</si>
  <si>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</si>
  <si>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</si>
  <si>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</si>
  <si>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</si>
  <si>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</si>
  <si>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</si>
  <si>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</si>
  <si>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</si>
  <si>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</si>
  <si>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r>
      <t xml:space="preserve">Huancavelica
</t>
    </r>
    <r>
      <rPr>
        <sz val="10"/>
        <color theme="1"/>
        <rFont val="Arial"/>
        <family val="2"/>
      </rPr>
      <t>Castrovirreyna / Santa Ana</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</si>
  <si>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Pucapampa - Lachoj</t>
    </r>
    <r>
      <rPr>
        <sz val="10"/>
        <color theme="1"/>
        <rFont val="Arial"/>
        <family val="2"/>
      </rPr>
      <t>,</t>
    </r>
    <r>
      <rPr>
        <sz val="10"/>
        <rFont val="Arial"/>
        <family val="2"/>
      </rPr>
      <t xml:space="preserve">
</t>
    </r>
    <r>
      <rPr>
        <b/>
        <sz val="10"/>
        <rFont val="Arial"/>
        <family val="2"/>
      </rPr>
      <t>Sector</t>
    </r>
    <r>
      <rPr>
        <sz val="10"/>
        <rFont val="Arial"/>
        <family val="2"/>
      </rPr>
      <t>: Astobamba Km 141+000 - Km 151+000</t>
    </r>
  </si>
  <si>
    <t>Maquinaria de PVN
01 Motoniveladora
01 Rodillo Liso
01 Cargador frontal
01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</si>
  <si>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</si>
  <si>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</si>
  <si>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</si>
  <si>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</si>
  <si>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</si>
  <si>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</si>
  <si>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</si>
  <si>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</si>
  <si>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</si>
  <si>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</si>
  <si>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</si>
  <si>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</si>
  <si>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</si>
  <si>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</si>
  <si>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</si>
  <si>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</si>
  <si>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</si>
  <si>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</si>
  <si>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</si>
  <si>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</si>
  <si>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</si>
  <si>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</si>
  <si>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</si>
  <si>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</si>
  <si>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</si>
  <si>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</si>
  <si>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</si>
  <si>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</si>
  <si>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</si>
  <si>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</si>
  <si>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</si>
  <si>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</si>
  <si>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</si>
  <si>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</si>
  <si>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</si>
  <si>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</si>
  <si>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</si>
  <si>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</si>
  <si>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</si>
  <si>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</si>
  <si>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</si>
  <si>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</si>
  <si>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</si>
  <si>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</si>
  <si>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</si>
  <si>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</si>
  <si>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</si>
  <si>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</si>
  <si>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</si>
  <si>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</si>
  <si>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</si>
  <si>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</si>
  <si>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</si>
  <si>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</si>
  <si>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</si>
  <si>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</si>
  <si>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</si>
  <si>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</si>
  <si>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</si>
  <si>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</si>
  <si>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t>VIALES-005456</t>
  </si>
  <si>
    <r>
      <rPr>
        <b/>
        <sz val="10"/>
        <rFont val="Arial"/>
        <family val="2"/>
      </rPr>
      <t>DEVIANDES</t>
    </r>
    <r>
      <rPr>
        <sz val="10"/>
        <rFont val="Arial"/>
        <family val="2"/>
      </rPr>
      <t xml:space="preserve">
Comunicación vía correo Andrea Barrenechea Operadora CAE  Correo : </t>
    </r>
    <r>
      <rPr>
        <sz val="10"/>
        <rFont val="Arial"/>
        <family val="2"/>
      </rPr>
      <t>informes.cae@deviandes.com</t>
    </r>
  </si>
  <si>
    <r>
      <rPr>
        <b/>
        <sz val="10"/>
        <color theme="1"/>
        <rFont val="Arial"/>
        <family val="2"/>
      </rPr>
      <t xml:space="preserve">Junín
</t>
    </r>
    <r>
      <rPr>
        <sz val="10"/>
        <color theme="1"/>
        <rFont val="Arial"/>
        <family val="2"/>
      </rPr>
      <t>Yauli / Paccha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</si>
  <si>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La Oroya - Cerro de Pasco,
</t>
    </r>
    <r>
      <rPr>
        <b/>
        <sz val="10"/>
        <rFont val="Arial"/>
        <family val="2"/>
      </rPr>
      <t>Sector</t>
    </r>
    <r>
      <rPr>
        <sz val="10"/>
        <rFont val="Arial"/>
        <family val="2"/>
      </rPr>
      <t>: Río Tishgo Km 15+000</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</si>
  <si>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</si>
  <si>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</si>
  <si>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</si>
  <si>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</si>
  <si>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</si>
  <si>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</si>
  <si>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</si>
  <si>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</si>
  <si>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</si>
  <si>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</si>
  <si>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t xml:space="preserve">17/02/2026   </t>
  </si>
  <si>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17.02.26 PVN Zonal Amazonas informa que realiza las coordinaciones para la atención de la emergencia.</t>
    </r>
  </si>
  <si>
    <t>17/02/2026</t>
  </si>
  <si>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</si>
  <si>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17.02.26 PVN Zonal Lambayeque informa que el Conservador continua con los trabajos de limpieza de derrumbe, se habilitó una vía para la circulación de vehículos.</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</si>
  <si>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17.02.26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</si>
  <si>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</si>
  <si>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</si>
  <si>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17.02.26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</si>
  <si>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</si>
  <si>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17.02.26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</si>
  <si>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17.02.26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</si>
  <si>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17.02.26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</si>
  <si>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17.02.26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</si>
  <si>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</si>
  <si>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17.02.26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</si>
  <si>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17.02.26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</si>
  <si>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17.02.26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</si>
  <si>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17.02.26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</si>
  <si>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17.02.26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</si>
  <si>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17.02.26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</si>
  <si>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17.02.26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</si>
  <si>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17.02.26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</si>
  <si>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17.02.26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</si>
  <si>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17.02.26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</si>
  <si>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17.02.26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</si>
  <si>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17.02.26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</si>
  <si>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17.02.26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</si>
  <si>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17.02.26 PVN Zonal San Martín - Loreto informa que realiza actividades de resguardo de campamento (garita, oficina, almacén), se cuenta con personal y equipos menores</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</si>
  <si>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17.02.26 PVN Zonal Piura - Tumbes informa que procederá al requerimiento para la contratación del servicio de reparación y/o reposición de barandas metálicas.</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</si>
  <si>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17.02.26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</si>
  <si>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17.02.26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</si>
  <si>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17.02.26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</si>
  <si>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17.02.26 PVN Zonal Huánuco informa que solicita la intervención de los puentes artesanales (rollizos de madera) que ya presentan daños en su estructura.</t>
    </r>
  </si>
  <si>
    <t>Deterioro de infraestructura - Socavación de puente
Debido a la acción de la naturaleza y geodinámica externa, se evidencia daños en la sub estructura y desgaste en la super estructura del puente, afectando parcialmente la transitabilidad vehicular.
17.02.26 PVN Zonal Huánuco informa que solicita la intervención de los puentes artesanales (rollizos de madera) que ya presentan daños en su estructura.</t>
  </si>
  <si>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17.02.26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</si>
  <si>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17.02.26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</si>
  <si>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</si>
  <si>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17.02.26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</si>
  <si>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17.02.26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</si>
  <si>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</si>
  <si>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17.02.26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</si>
  <si>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17.02.26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</si>
  <si>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17.02.26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</si>
  <si>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17.02.26 PVN Zonal Huánuco informa que realiza actividades de excavación y acopio de material de eliminación</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</si>
  <si>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17.02.26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</si>
  <si>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Ucayali informa que el Conservador informa realiza los trabajos de corte de talud superior, eliminación de material para la atención de la emergencia vial</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</si>
  <si>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17.02.26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</si>
  <si>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17.02.26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</si>
  <si>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17.02.26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</si>
  <si>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Piura - Tumbes informa que realiza las coordinaciones y gestiones para la atención de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</si>
  <si>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</si>
  <si>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17.02.26 PVN Zonal Lima informa que se encuentra en trámite de certificación para la atención de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</si>
  <si>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17.02.26 PVN Zonal Junín - Pasco informa que realiza la elaboración de los términos de referencia para la contratación de los términos de referencia.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</si>
  <si>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17.02.26 PVN Zonal Lambayeque informa que el Conservador dispone la limpieza y eliminación de derrumbe con apoyo de maquinaria.</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</si>
  <si>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17.02.26 La Concesionaria informa que personal y su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</si>
  <si>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Huancavelica informa que el Conservador realiza las actividades de recuperación de la plataforma mediante la conformación de un muro seco.</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</si>
  <si>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17.02.26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</si>
  <si>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</si>
  <si>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</si>
  <si>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Lambayeque informa que el Conservador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</si>
  <si>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Lambayeque informa que el Conservador dispone la construcción de un muro ciclópeo y demás estructuras.</t>
    </r>
  </si>
  <si>
    <r>
      <rPr>
        <b/>
        <sz val="10"/>
        <rFont val="Arial"/>
        <family val="2"/>
      </rPr>
      <t>Precipitaciones pluviales - Pérdida de plataforma</t>
    </r>
    <r>
      <rPr>
        <sz val="10"/>
        <rFont val="Arial"/>
        <family val="2"/>
      </rPr>
      <t xml:space="preserve">
Debido a las constantes precipitaciones pluviales en la zona, se produjo pérdida de plataforma, restringiendo la transitabilidad de la vía.
17.02.26 PVN Zonal Lambayeque informa que el Conservador realiza las coordinaciones y gestiones para recuperar ancho de calzada.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</si>
  <si>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17.02.26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</si>
  <si>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17.02.26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</si>
  <si>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17.02.26 PVN Zonal Junín – Pasco informa que el Conservador viene realizando los requerimientos de recursos para dar inicio a las labores de mantenimiento correspondientes.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</si>
  <si>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17.02.26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</si>
  <si>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17.02.26 PVN Zonal Ayacucho informa que continúa con los trabajos de retiro de material saturado y colocación de piedra y material tipo over. habilitando la transitabilidad en un solo carril.</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</si>
  <si>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17.02.26 PVN Zonal VRAEM informa que el Conservador realiza los trabajos de señalización y el control de tráfico vehicular a la par se realizó el control de tráfico vehicular y realizó el control topográfico.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</si>
  <si>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17.02.26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</si>
  <si>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Amazonas informa que realiza los términos de referencia para la contratación de los servicios e iniciar los trabajos de recuperación de la calzada.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</si>
  <si>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17.02.26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</si>
  <si>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17.02.26 PVN Zonal Ayacucho informa que dispone la recuperación de la calzada, mediante la reconformación de la plataforma.</t>
    </r>
  </si>
  <si>
    <r>
      <rPr>
        <b/>
        <sz val="10"/>
        <rFont val="Arial"/>
        <family val="2"/>
      </rPr>
      <t>Precipitaciones pluviales - Deslizamiento</t>
    </r>
    <r>
      <rPr>
        <sz val="10"/>
        <rFont val="Arial"/>
        <family val="2"/>
      </rPr>
      <t xml:space="preserve">
Debido a las constantes precipitaciones pluviales que provocaron deslizamiento, afectando parcialmente la vía.
17.02.26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</si>
  <si>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</si>
  <si>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17.02.26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</si>
  <si>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17.02.26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</si>
  <si>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17.02.26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</si>
  <si>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17.02.26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</si>
  <si>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17.02.26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</si>
  <si>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</si>
  <si>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17.02.26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</si>
  <si>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17.02.26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</si>
  <si>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17.02.26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</si>
  <si>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17.02.26 PVN Zonal Ucayali informa que el Conservador realiza el control de tránsito vehicular en turno diurno y nocturno a fin de recuperar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</si>
  <si>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17.02.26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</si>
  <si>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17.02.26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</si>
  <si>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17.02.26,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</si>
  <si>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17.02.26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</si>
  <si>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17.02.26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</si>
  <si>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17.02.26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</si>
  <si>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17.02.26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</si>
  <si>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</si>
  <si>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17.02.26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</si>
  <si>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17.02.26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</si>
  <si>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</si>
  <si>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17.02.26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</si>
  <si>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17.02.26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</si>
  <si>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17.02.26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</si>
  <si>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17.02.26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</si>
  <si>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17.02.26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</si>
  <si>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Tacna - Moquegua informa que el Conservador ejecuta trabajos de extracción de cantera y accesos, por ello se dispone la recuperación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</si>
  <si>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</si>
  <si>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17.02.26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</si>
  <si>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</si>
  <si>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17.02.26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</si>
  <si>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el Conservador realiza los trabajos de señalización preventiva y excavación para la colocación de muro de bolsacreto.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</si>
  <si>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</si>
  <si>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</si>
  <si>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17.02.26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</si>
  <si>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</si>
  <si>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17.02.26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</si>
  <si>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17.02.26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</si>
  <si>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Tacna - Moquegua informa que proyecta intervención inmediata enrocado en un total de 25m2.</t>
    </r>
  </si>
  <si>
    <t>Precipitaciones pluviales - Pérdida de plataforma
Debido a las constantes precipitaciones pluviales y crecida del río en el sector, se produjo pérdida de plataforma, afectando totalmente la vía.
17.02.26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</si>
  <si>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Ahuellamiento</t>
    </r>
    <r>
      <rPr>
        <sz val="10"/>
        <rFont val="Arial"/>
        <family val="2"/>
      </rPr>
      <t xml:space="preserve">
Debido a las precipitaciones pluviales, se produjo ahuellamiento en la vía afectando la transitabilidad.
17.02.26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</si>
  <si>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17.02.26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</si>
  <si>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17.02.26 PVN Zonal Áncash informa que realiza las actividades de encauzamiento de agua, pedraplenes, extracción de material para pedraplenes, control de tránsito, transporte de personal y vigilancia.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</si>
  <si>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Junín - Pasco informa que el Conservador realiza trámites administrativos para contratar lo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</si>
  <si>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Tacna - Moquegua informa que realiza las coordinaciones para la contratación de pyme, la misma que se encargará de la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</si>
  <si>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17.02.26 PVN Zonal Cajamarca informa que el Conservador plantea la conformación de un muro ciclópeo y un emboquillado de salida.</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</si>
  <si>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17.02.26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</si>
  <si>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</si>
  <si>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17.02.26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</si>
  <si>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</si>
  <si>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17.02.26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</si>
  <si>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</si>
  <si>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17.02.26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</si>
  <si>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</si>
  <si>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17.02.26 PVN Zonal Cusco - Apurímac informa que el Conservador inicia las coordinaciones para realizar la limpieza de derrumbe.</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</si>
  <si>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17.02.26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</si>
  <si>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se produjo derrumbe en la vía afectando la transitabilidad vehicular.
17.02.26 PVN Zonal Junín - Pasco informó que el Conservador inicia los trabajos de limpieza de derrumbe a fin de recuperar la transitabilidad vehicular.</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</si>
  <si>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17.02.26 PVN Zonal Huánuco informa que realiza trabajos de carguío de rocas, asimismo se viene acopiando las rocas cerca al sector crítico</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</si>
  <si>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17.02.26 PVN Zonal Junín - Pasco informó que el Conservador iniciará los trabajos correspondientes para atender la emergencia vial.</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</si>
  <si>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17.02.26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</si>
  <si>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17.02.26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</si>
  <si>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17.02.26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</si>
  <si>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17.02.26 PVN Zonal Ucayali informa que el Conservador realiza trabajos de recuperación de plataforma, mediante el corte de talud superior para ensanche, extracción y carguío de rocas.</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</si>
  <si>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17.02.26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</si>
  <si>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constantes precipitaciones, se produjo derrumbe, afectando de manera parcial la transitabilidad.
17.02.26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</si>
  <si>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17.02.26 PVN Zonal Junín - Pasco realiza las gestiones administrativas para la contratación de los servicios y recuperación de la transitabilidad.</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</si>
  <si>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17.02.26 La Concesionaria informa que habilita el pase, restringido y alternado, para vehículos livianos y pesados.
Ruta Alterna: Al momento no existe ruta alterna.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</si>
  <si>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17.02.26 La Concesionaria informa que monitorea la crecida de río a fin de dar transitabilidad vehicular.</t>
    </r>
  </si>
  <si>
    <r>
      <rPr>
        <b/>
        <sz val="10"/>
        <rFont val="Arial"/>
        <family val="2"/>
      </rPr>
      <t>Servicio Aéreo</t>
    </r>
    <r>
      <rPr>
        <sz val="10"/>
        <rFont val="Arial"/>
        <family val="2"/>
      </rPr>
      <t xml:space="preserve">
Debido a trabajos de mantenimiento en la pista de aterrizaje, se afectó los servicios de operatividad.
17.02.26 CORPAC informa que las operaciones están cerradas por trabajos de asfaltado de la pista de aterrizaje, según NOTAM C-4634/25 desde 12/12/2025 hasta el 12/03/2026.</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</si>
  <si>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17.02.26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</si>
  <si>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17.02.26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</si>
  <si>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</si>
  <si>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</si>
  <si>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17.02.26 PVN Zonal Áncash informa que el Conservador realiza trabajos de excavación a nivel de plataforma a fin de recuperar el ancho seguro.</t>
    </r>
  </si>
  <si>
    <t>VIALES-005467</t>
  </si>
  <si>
    <r>
      <rPr>
        <b/>
        <sz val="10"/>
        <color theme="1"/>
        <rFont val="Arial"/>
        <family val="2"/>
      </rPr>
      <t>Ayacucho</t>
    </r>
    <r>
      <rPr>
        <sz val="10"/>
        <color theme="1"/>
        <rFont val="Arial"/>
        <family val="2"/>
      </rPr>
      <t xml:space="preserve">
Parinacochas / Coracora</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</si>
  <si>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Huallhua Km 141+000 - Km 141+040</t>
    </r>
  </si>
  <si>
    <r>
      <rPr>
        <b/>
        <sz val="10"/>
        <rFont val="Arial"/>
        <family val="2"/>
      </rPr>
      <t xml:space="preserve">PVN
</t>
    </r>
    <r>
      <rPr>
        <sz val="10"/>
        <rFont val="Arial"/>
        <family val="2"/>
      </rPr>
      <t>Administración por contrato
Jefatura zonal Ica
Ing. Vladimir Rodriguez Bendayan - Jefe zonal Correo:Vrodriguez@pvn.gob.pe</t>
    </r>
  </si>
  <si>
    <t>Maquinaria del Contratista Conservador Consorcio Vial Puquio</t>
  </si>
  <si>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</si>
  <si>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</si>
  <si>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</si>
  <si>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</si>
  <si>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17.02.26 La Concesionaria informa que realiza los trabajos de limpieza de derrumbe, a fin de recuperar la transitabilidad vehicular.</t>
    </r>
  </si>
  <si>
    <t>TRÁNSITO NORMAL</t>
  </si>
  <si>
    <r>
      <rPr>
        <b/>
        <sz val="10"/>
        <rFont val="Arial"/>
        <family val="2"/>
      </rPr>
      <t>Acción humana - Accidente de tránsito</t>
    </r>
    <r>
      <rPr>
        <sz val="10"/>
        <rFont val="Arial"/>
        <family val="2"/>
      </rPr>
      <t xml:space="preserve">
Debido al despiste y volcadura de un semi tráiler (cargado de productos congelados), se restringió la vía por un carril.
17.02.26 La Concesionaria informa que personal de DEVIANDES recuperó la transitabilidad vehicular.
 </t>
    </r>
  </si>
  <si>
    <r>
      <rPr>
        <b/>
        <sz val="10"/>
        <rFont val="Arial"/>
        <family val="2"/>
      </rPr>
      <t>Precipitaciones pluviales - Derrumbe</t>
    </r>
    <r>
      <rPr>
        <sz val="10"/>
        <rFont val="Arial"/>
        <family val="2"/>
      </rPr>
      <t xml:space="preserve">
Debido a las precipitaciones pluviales, ocasionaron derrumbe, afectando completamente la transitabilidad.
17.02.26 PVN Zonal Lima informa que continúa con los trabajos de eliminación de material de derrumbe y arrastre en la zona afectada. Asimismo, se habilita el tránsito vehicular por media vía de manera controlada. </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</si>
  <si>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17.02.26 PVN Zonal Áncash informa que el Conservador culminó el día de ayer con la atención de la emergencia vial, recuperando la transitabilidad vehicular.</t>
    </r>
  </si>
  <si>
    <r>
      <t xml:space="preserve">Red Vial Nacional: PE-1SI,
Tramo: </t>
    </r>
    <r>
      <rPr>
        <sz val="10"/>
        <rFont val="Arial"/>
        <family val="2"/>
      </rPr>
      <t>Jaqui -</t>
    </r>
    <r>
      <rPr>
        <b/>
        <sz val="10"/>
        <rFont val="Arial"/>
        <family val="2"/>
      </rPr>
      <t xml:space="preserve"> </t>
    </r>
    <r>
      <rPr>
        <sz val="10"/>
        <rFont val="Arial"/>
        <family val="2"/>
      </rPr>
      <t xml:space="preserve">Piedra Blanca,
</t>
    </r>
    <r>
      <rPr>
        <b/>
        <sz val="10"/>
        <rFont val="Arial"/>
        <family val="2"/>
      </rPr>
      <t xml:space="preserve">Sector: </t>
    </r>
    <r>
      <rPr>
        <sz val="10"/>
        <rFont val="Arial"/>
        <family val="2"/>
      </rPr>
      <t>Pueblo Nuevo Km 91+100 - Km 91+140</t>
    </r>
  </si>
  <si>
    <r>
      <t xml:space="preserve">Red Vial Nacional: PE-32,
Tramo: </t>
    </r>
    <r>
      <rPr>
        <sz val="10"/>
        <rFont val="Arial"/>
        <family val="2"/>
      </rPr>
      <t xml:space="preserve">Chaviña - Puquio,
</t>
    </r>
    <r>
      <rPr>
        <b/>
        <sz val="10"/>
        <rFont val="Arial"/>
        <family val="2"/>
      </rPr>
      <t xml:space="preserve">Sector: </t>
    </r>
    <r>
      <rPr>
        <sz val="10"/>
        <rFont val="Arial"/>
        <family val="2"/>
      </rPr>
      <t>Chilques Km 286+130 - Km 286+150</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</si>
  <si>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totalmente la vía.
17.02.26 PVN Zonal Ica informa que el Conservador dispone con la movilización de maquinaria para recuperar la transitabilidad vehicular.</t>
    </r>
  </si>
  <si>
    <t>VIALES-005469</t>
  </si>
  <si>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17.02.26 PVN Zonal Ica informa que el Conservador dispone con la movilización de maquinaria para recuperar la transitabilidad vehicular.</t>
    </r>
  </si>
  <si>
    <r>
      <rPr>
        <b/>
        <sz val="10"/>
        <color theme="1"/>
        <rFont val="Arial"/>
        <family val="2"/>
      </rPr>
      <t>Ayacucho</t>
    </r>
    <r>
      <rPr>
        <sz val="10"/>
        <color theme="1"/>
        <rFont val="Arial"/>
        <family val="2"/>
      </rPr>
      <t xml:space="preserve">
Parinacochas / Pullo</t>
    </r>
  </si>
  <si>
    <t>VIALES-005470</t>
  </si>
  <si>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totalmente la vía.
17.02.26 PVN Zonal Ica informa que el Conservador realiza la eliminación de material de derrumbe.</t>
    </r>
  </si>
  <si>
    <r>
      <rPr>
        <b/>
        <sz val="10"/>
        <color theme="1"/>
        <rFont val="Arial"/>
        <family val="2"/>
      </rPr>
      <t>Ayacucho</t>
    </r>
    <r>
      <rPr>
        <sz val="10"/>
        <color theme="1"/>
        <rFont val="Arial"/>
        <family val="2"/>
      </rPr>
      <t xml:space="preserve">
Lucanas / Puquio</t>
    </r>
  </si>
  <si>
    <t>Maquinaria del Contratista Conservador Consorcio Vial Puquio
01 Retroexcavadora</t>
  </si>
  <si>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</si>
  <si>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</si>
  <si>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Ica informa que el Conservador realiza el transporte de materiales, excavación, eliminación, acomodo de roca para la construcción de muro de mampostería, así como el control del tránsito.</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</si>
  <si>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</si>
  <si>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</si>
  <si>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</si>
  <si>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</si>
  <si>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</si>
  <si>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</si>
  <si>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17.02.26 PVN Zonal  Cusco -  Apurímac informa que el Conservador realiza trabajos de eliminación de material de derrumbe.</t>
    </r>
  </si>
  <si>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</si>
  <si>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</si>
  <si>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17.02.26 PVN Zonal Lima informa que el Conservador realiza mantenimiento de tránsito y seguridad vial, trazo y replanteo, corte de la carpeta asfáltica y excavación del área a trabajar.</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</si>
  <si>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</si>
  <si>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</si>
  <si>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</si>
  <si>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rPr>
        <b/>
        <sz val="10"/>
        <color theme="1"/>
        <rFont val="Arial"/>
        <family val="2"/>
      </rPr>
      <t>Piura</t>
    </r>
    <r>
      <rPr>
        <sz val="10"/>
        <color theme="1"/>
        <rFont val="Arial"/>
        <family val="2"/>
      </rPr>
      <t xml:space="preserve">
Huancabamba / Sondorillo</t>
    </r>
  </si>
  <si>
    <r>
      <t xml:space="preserve">Red Vial Nacional: PE-3N,
Tramo: </t>
    </r>
    <r>
      <rPr>
        <sz val="10"/>
        <rFont val="Arial"/>
        <family val="2"/>
      </rPr>
      <t xml:space="preserve">Emp. PE - 3N  - Sondor,
</t>
    </r>
    <r>
      <rPr>
        <b/>
        <sz val="10"/>
        <rFont val="Arial"/>
        <family val="2"/>
      </rPr>
      <t xml:space="preserve">Sector: </t>
    </r>
    <r>
      <rPr>
        <sz val="10"/>
        <rFont val="Arial"/>
        <family val="2"/>
      </rPr>
      <t>Ovejerías Km 1763+600- Km 1763+700</t>
    </r>
  </si>
  <si>
    <r>
      <rPr>
        <b/>
        <sz val="10"/>
        <rFont val="Arial"/>
        <family val="2"/>
      </rPr>
      <t xml:space="preserve">Precipitaciones pluviales - Huaico
</t>
    </r>
    <r>
      <rPr>
        <sz val="10"/>
        <rFont val="Arial"/>
        <family val="2"/>
      </rPr>
      <t>Debido a las constantes precipitaciones pluviales en ele sector, se produjo huaico, motivo por el cual la transitabilidad de la vía se encuentra restringida
17.02.26 PVN Zonal Piura -Tumbes informa que el Conservador realiza trabajos de señalización preventiva, limpieza de plataforma.</t>
    </r>
  </si>
  <si>
    <t>VIALES-005474</t>
  </si>
  <si>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17.02.26 PVN Zonal Huancavelica informa que culminó con la atención de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</si>
  <si>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17.02.26 PVN Zonal Huancavelica informa que culminó con la atención de la emergencia vial.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</si>
  <si>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17.02.26 PVN Zonal Junín - Pasco informa que culminó con las labores de limpieza.</t>
    </r>
  </si>
  <si>
    <t>Amazonas
Áncash
Apurímac
Arequipa
Ayacucho
Cajamarca
Cusco
Huancavelica
Huánuco
Junín
La Libertad
Lambayeque
Lima
Loreto
Madre de Dios
Moquegua
Pasco
Piura
Puno
San Martín
Tacna
Ucayali</t>
  </si>
  <si>
    <t>Debido a precipitaciones pluviales suscitados en el ámbito nacional, se presente afectaciones de falla del proveedor de energía eléctrica / corte de Fibra Óptica, dejando inoperativa las estaciones bases.
17.02.26 A las 15:00 horas, el Centro de Monitoreo de OSIPTEL informó  que detectó afectación en 160 estaciones bases: Amazonas (8), Áncash (1), Apurímac (3), Arequipa (10), Ayacucho (9), Cajamarca (11), Cusco (11), Huancavelica (3), Huánuco (9), Junín (18), La Libertad (3), Lambayeque (4), Lima (5), Loreto (15), Madre de Dios (3), Moquegua (3), Pasco (5), Piura (28), Puno (3), San Martín (5), Tacna (1), Ucayali (2).
La afectación se debe principalmente a una falla del proveedor de energía eléctrica y al corte de la fibra óptica. El personal técnico se encuentra realizando las acciones correctivas necesarias para el restablecimiento del servicio.</t>
  </si>
  <si>
    <t xml:space="preserve">Amazonas
Ayacucho
Cusco
Huancavelica
Ica
Junín
La Libertad
Lambayeque
Madre de Dios
Piura	</t>
  </si>
  <si>
    <t>Debido a precipitaciones pluviales suscitados en el ámbito nacional, se presente afectaciones de falla del proveedor de energía eléctrica / corte de Fibra Óptica, dejando inoperativa las estaciones bases.
17.02.26 A las 15:00 horas,  el Centro de Monitoreo de OSIPTEL informó  que detectó afectación en 25 estaciones bases: Amazonas (2), Ayacucho (1), Cusco (3), Huancavelica (3), Ica (2), Junín (1), La Libertad (1), Lambayeque (1), Madre de Dios (1), Piura (10).
La afectación se debe principalmente a una falla del proveedor de energía eléctrica y al corte de la fibra óptica. El personal técnico se encuentra realizando las acciones correctivas necesarias para el restablecimiento del servicio.</t>
  </si>
  <si>
    <t>Amazonas
Arequipa
Ayacucho
Cajamarca
Cusco
Huancavelica
Huánuco
Junín
Loreto
Piura</t>
  </si>
  <si>
    <t>Debido a precipitaciones pluviales suscitados en el ámbito nacional, se presente afectaciones de falla del proveedor de energía eléctrica / corte de Fibra Óptica, dejando inoperativa las estaciones bases.
17.02.26 A las 15:00 horas  el Centro de Monitoreo de OSIPTEL informó  que detectó afectación en 31 estaciones bases: Amazonas (1), Arequipa (2), Ayacucho (4), Cajamarca (7), Cusco (5), Huancavelica (2), Huánuco (3), Junín (2), Loreto (1), Piura (4).
La afectación se debe principalmente a una falla del proveedor de energía eléctrica y al corte de la fibra óptica. El personal técnico se encuentra realizando las acciones correctivas necesarias para el restablecimiento del servicio.</t>
  </si>
  <si>
    <t xml:space="preserve">
Amazonas
Arequipa
Ayacucho
Cajamarca
Cusco
Huánuco
Junín
Lambayeque
Loreto
Moquegua
Pasco
Piura
Tacna
Ucayali
</t>
  </si>
  <si>
    <t>Debido a precipitaciones pluviales suscitados en el ámbito nacional, se presente afectaciones de falla del proveedor de energía eléctrica / corte de Fibra Óptica, dejando inoperativa las estaciones bases.
17.02.26 A las 15:00 horas, el Centro de Monitoreo de OSIPTEL informó  que detectó afectación en 27 estaciones bases: Amazonas (1), Arequipa (6), Ayacucho (1), Cajamarca (1), Cusco (1), Huánuco (1), Junín (3), Lambayeque (1), Loreto (2), Moquegua (1), Pasco (1), Piura (6), Tacna (1), Ucayali (1).
La afectación se debe principalmente a una falla del proveedor de energía eléctrica y al corte de la fibra óptica. El personal técnico se encuentra realizando las acciones correctivas necesarias para el restablecimiento del servicio.</t>
  </si>
  <si>
    <r>
      <rPr>
        <b/>
        <sz val="10"/>
        <rFont val="Arial"/>
        <family val="2"/>
      </rPr>
      <t xml:space="preserve">Precipitaciones pluviales - Huaico
</t>
    </r>
    <r>
      <rPr>
        <sz val="10"/>
        <rFont val="Arial"/>
        <family val="2"/>
      </rPr>
      <t>Debido a las constantes precipitaciones pluviales e incremento del caudal en la parte alta, se produjo huaico, motivo por el cual la transitabilidad de la vía se encuentra interrumpida.
17.02.26 PVN Zonal Ica informa que el Conservador dispone con la movilización de maquinaria para recuperar la transitabilidad vehicular se precisa que la quebrada se mantiene activa por las lluvias persistentes en la parte alta del sector Pausa, lo que incrementa el riesgo de nuevos huaicos y deslizamiento de talud superior, por lo que se espera la disminución del caudal y precipitaciones para intervenir.</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</si>
  <si>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</si>
  <si>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r>
      <rPr>
        <b/>
        <sz val="10"/>
        <rFont val="Arial"/>
        <family val="2"/>
      </rPr>
      <t>Precipitaciones pluviales - Colapso de alcantarilla</t>
    </r>
    <r>
      <rPr>
        <sz val="10"/>
        <rFont val="Arial"/>
        <family val="2"/>
      </rPr>
      <t xml:space="preserve">
Debido a las constantes precipitaciones pluviales en la zona , se produjo el desplazamiento del talud inferior de la calzada y colapso de alcantarilla, restringiendo la transitabilidad de la vía.
17.02.26 PVN Zonal Ica informa que el Conservador realiza la movilización de maquinaria y personal a la zona.</t>
    </r>
  </si>
  <si>
    <t>VIALES-005475</t>
  </si>
  <si>
    <t xml:space="preserve">Maquinaria del Contratista Conservador Consorcio Vial Puquio
</t>
  </si>
  <si>
    <t>Maquinaria del Contratista Conservador Consorcio Vial Puquio 
01 Cargador frontal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</si>
</sst>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5">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b/>
      <sz val="10"/>
      <color rgb="FF00B050"/>
      <name val="Arial"/>
      <family val="2"/>
    </font>
    <font>
      <b/>
      <u/>
      <sz val="10"/>
      <color rgb="FF0078D2"/>
      <name val="Arial"/>
    </font>
    <font>
      <sz val="10"/>
      <color theme="1"/>
      <name val="Arial"/>
    </font>
    <font>
      <b/>
      <sz val="10"/>
      <name val="Arial"/>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86">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0" fontId="108" fillId="0" borderId="16" xfId="0" applyFont="1" applyBorder="1" applyAlignment="1">
      <alignment horizontal="center" vertical="center" wrapText="1"/>
    </xf>
    <xf numFmtId="0" fontId="88" fillId="0" borderId="17" xfId="0" applyFont="1" applyBorder="1" applyAlignment="1">
      <alignment vertical="center" wrapText="1"/>
    </xf>
    <xf numFmtId="0" fontId="88" fillId="0" borderId="4" xfId="0" applyFont="1" applyBorder="1" applyAlignment="1">
      <alignment vertical="center" wrapText="1"/>
    </xf>
    <xf numFmtId="164" fontId="108" fillId="0" borderId="16" xfId="3" applyNumberFormat="1" applyFont="1" applyFill="1" applyBorder="1" applyAlignment="1" applyProtection="1">
      <alignment horizontal="center" vertical="center" wrapText="1"/>
      <protection locked="0"/>
    </xf>
    <xf numFmtId="164" fontId="171" fillId="0" borderId="16" xfId="3" applyNumberFormat="1" applyFont="1" applyFill="1" applyBorder="1" applyAlignment="1" applyProtection="1">
      <alignment horizontal="center" vertical="center" wrapText="1"/>
      <protection locked="0"/>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0" fontId="0" fillId="0" borderId="0" xfId="0" applyFill="1"/>
    <xf numFmtId="164" fontId="118" fillId="0" borderId="16" xfId="7" applyNumberFormat="1" applyFont="1" applyFill="1" applyBorder="1" applyAlignment="1">
      <alignment horizontal="center" vertical="center"/>
    </xf>
    <xf numFmtId="0" fontId="85" fillId="0" borderId="2" xfId="0" applyFont="1" applyFill="1" applyBorder="1" applyAlignment="1">
      <alignment horizontal="center" vertical="center" wrapText="1"/>
    </xf>
    <xf numFmtId="0" fontId="88" fillId="0" borderId="2" xfId="0" applyFont="1" applyFill="1" applyBorder="1" applyAlignment="1">
      <alignment horizontal="left" vertical="center" wrapText="1"/>
    </xf>
    <xf numFmtId="0" fontId="83" fillId="0" borderId="3" xfId="0" applyFont="1" applyFill="1" applyBorder="1" applyAlignment="1">
      <alignment horizontal="justify" vertical="center" wrapText="1"/>
    </xf>
    <xf numFmtId="0" fontId="85" fillId="0" borderId="16" xfId="0" applyFont="1" applyFill="1" applyBorder="1" applyAlignment="1">
      <alignment horizontal="center" vertical="center" wrapText="1"/>
    </xf>
    <xf numFmtId="0" fontId="88" fillId="0" borderId="16" xfId="0" applyFont="1" applyFill="1" applyBorder="1" applyAlignment="1">
      <alignment horizontal="left" vertical="center" wrapText="1"/>
    </xf>
    <xf numFmtId="1" fontId="174" fillId="0" borderId="16" xfId="5" applyNumberFormat="1" applyFont="1" applyFill="1" applyBorder="1" applyAlignment="1" applyProtection="1">
      <alignment horizontal="center" vertical="center" wrapText="1"/>
      <protection locked="0"/>
    </xf>
    <xf numFmtId="164" fontId="172" fillId="0" borderId="16" xfId="7" applyNumberFormat="1" applyFont="1" applyFill="1" applyBorder="1" applyAlignment="1">
      <alignment horizontal="center" vertical="center" wrapText="1"/>
    </xf>
    <xf numFmtId="166" fontId="173" fillId="0" borderId="16" xfId="1" applyNumberFormat="1" applyFont="1" applyFill="1" applyBorder="1" applyAlignment="1">
      <alignment horizontal="center" vertical="center" wrapText="1"/>
    </xf>
    <xf numFmtId="167" fontId="173" fillId="0" borderId="16" xfId="3" applyNumberFormat="1" applyFont="1" applyFill="1" applyBorder="1" applyAlignment="1">
      <alignment horizontal="center" vertical="center" wrapText="1"/>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4">
    <dxf>
      <fill>
        <patternFill patternType="solid">
          <fgColor rgb="FFFFFF00"/>
          <bgColor rgb="FF00000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rgb="FFFFFF00"/>
          <bgColor rgb="FF000000"/>
        </patternFill>
      </fill>
    </dxf>
    <dxf>
      <fill>
        <patternFill patternType="solid">
          <fgColor rgb="FFFFFF00"/>
          <bgColor rgb="FF000000"/>
        </patternFill>
      </fill>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20000"/>
      <color rgb="FFFFFF66"/>
      <color rgb="FFFF66CC"/>
      <color rgb="FFFFFF00"/>
      <color rgb="FF0078D2"/>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200</c:v>
                </c:pt>
                <c:pt idx="4">
                  <c:v>60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597</c:v>
                </c:pt>
                <c:pt idx="2">
                  <c:v>640</c:v>
                </c:pt>
                <c:pt idx="3">
                  <c:v>0</c:v>
                </c:pt>
                <c:pt idx="4">
                  <c:v>230</c:v>
                </c:pt>
                <c:pt idx="5">
                  <c:v>490</c:v>
                </c:pt>
                <c:pt idx="6">
                  <c:v>1235</c:v>
                </c:pt>
                <c:pt idx="7">
                  <c:v>0</c:v>
                </c:pt>
                <c:pt idx="8">
                  <c:v>1265</c:v>
                </c:pt>
                <c:pt idx="9">
                  <c:v>10</c:v>
                </c:pt>
                <c:pt idx="10">
                  <c:v>491</c:v>
                </c:pt>
                <c:pt idx="11">
                  <c:v>380</c:v>
                </c:pt>
                <c:pt idx="12">
                  <c:v>20</c:v>
                </c:pt>
                <c:pt idx="13">
                  <c:v>225</c:v>
                </c:pt>
                <c:pt idx="14">
                  <c:v>0</c:v>
                </c:pt>
                <c:pt idx="15">
                  <c:v>30</c:v>
                </c:pt>
                <c:pt idx="16">
                  <c:v>263</c:v>
                </c:pt>
                <c:pt idx="17">
                  <c:v>1140</c:v>
                </c:pt>
                <c:pt idx="18">
                  <c:v>1440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880</c:v>
                      </c:pt>
                      <c:pt idx="1">
                        <c:v>597</c:v>
                      </c:pt>
                      <c:pt idx="2">
                        <c:v>640</c:v>
                      </c:pt>
                      <c:pt idx="3">
                        <c:v>200</c:v>
                      </c:pt>
                      <c:pt idx="4">
                        <c:v>290</c:v>
                      </c:pt>
                      <c:pt idx="5">
                        <c:v>490</c:v>
                      </c:pt>
                      <c:pt idx="6">
                        <c:v>1235</c:v>
                      </c:pt>
                      <c:pt idx="7">
                        <c:v>0</c:v>
                      </c:pt>
                      <c:pt idx="8">
                        <c:v>1265</c:v>
                      </c:pt>
                      <c:pt idx="9">
                        <c:v>10</c:v>
                      </c:pt>
                      <c:pt idx="10">
                        <c:v>491</c:v>
                      </c:pt>
                      <c:pt idx="11">
                        <c:v>380</c:v>
                      </c:pt>
                      <c:pt idx="12">
                        <c:v>20</c:v>
                      </c:pt>
                      <c:pt idx="13">
                        <c:v>225</c:v>
                      </c:pt>
                      <c:pt idx="14">
                        <c:v>0</c:v>
                      </c:pt>
                      <c:pt idx="15">
                        <c:v>30</c:v>
                      </c:pt>
                      <c:pt idx="16">
                        <c:v>263</c:v>
                      </c:pt>
                      <c:pt idx="17">
                        <c:v>1140</c:v>
                      </c:pt>
                      <c:pt idx="18">
                        <c:v>1440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112057</xdr:colOff>
      <xdr:row>3</xdr:row>
      <xdr:rowOff>14006</xdr:rowOff>
    </xdr:from>
    <xdr:to>
      <xdr:col>4</xdr:col>
      <xdr:colOff>2465294</xdr:colOff>
      <xdr:row>66</xdr:row>
      <xdr:rowOff>168088</xdr:rowOff>
    </xdr:to>
    <xdr:pic>
      <xdr:nvPicPr>
        <xdr:cNvPr id="40" name="Imagen 39">
          <a:extLst>
            <a:ext uri="{FF2B5EF4-FFF2-40B4-BE49-F238E27FC236}">
              <a16:creationId xmlns:a16="http://schemas.microsoft.com/office/drawing/2014/main" id="{0774D842-51E4-204F-D3A2-ECF41359DE3C}"/>
            </a:ext>
          </a:extLst>
        </xdr:cNvPr>
        <xdr:cNvPicPr>
          <a:picLocks noChangeAspect="1"/>
        </xdr:cNvPicPr>
      </xdr:nvPicPr>
      <xdr:blipFill>
        <a:blip xmlns:r="http://schemas.openxmlformats.org/officeDocument/2006/relationships" r:embed="rId1"/>
        <a:stretch>
          <a:fillRect/>
        </a:stretch>
      </xdr:blipFill>
      <xdr:spPr>
        <a:xfrm>
          <a:off x="112057" y="1638859"/>
          <a:ext cx="8866656" cy="12802722"/>
        </a:xfrm>
        <a:prstGeom prst="rect">
          <a:avLst/>
        </a:prstGeom>
        <a:ln w="6350">
          <a:solidFill>
            <a:schemeClr val="tx1"/>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775917</xdr:colOff>
      <xdr:row>52</xdr:row>
      <xdr:rowOff>71420</xdr:rowOff>
    </xdr:from>
    <xdr:to>
      <xdr:col>1</xdr:col>
      <xdr:colOff>1492801</xdr:colOff>
      <xdr:row>63</xdr:row>
      <xdr:rowOff>117214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775917" y="11599471"/>
          <a:ext cx="1977546" cy="2202927"/>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37" totalsRowShown="0" headerRowDxfId="63">
  <tableColumns count="4">
    <tableColumn id="1" xr3:uid="{00000000-0010-0000-0000-000001000000}" name="DPTO" dataDxfId="11">
      <calculatedColumnFormula>TRIM(MID(TRIM(Transportes!D5),1,FIND(CHAR(10),TRIM(Transportes!D5),1)-1))</calculatedColumnFormula>
    </tableColumn>
    <tableColumn id="2" xr3:uid="{00000000-0010-0000-0000-000002000000}" name="ESTADO" dataDxfId="10">
      <calculatedColumnFormula>TRIM(IF(Transportes!F5="TRÁNSITO INTERRUMPIDO","Interrumpido",IF(Transportes!F5="TRÁNSITO RESTRINGIDO","Restringido","Normal")))</calculatedColumnFormula>
    </tableColumn>
    <tableColumn id="3" xr3:uid="{00000000-0010-0000-0000-000003000000}" name="FENOMENO" dataDxfId="9">
      <calculatedColumnFormula>TRIM(IF(MID(TRIM(Transportes!H5),1,FIND("-",TRIM(Transportes!H5),1)-2)="Acción humana","H","F"))</calculatedColumnFormula>
    </tableColumn>
    <tableColumn id="4" xr3:uid="{00000000-0010-0000-0000-000004000000}" name="METRAJE" dataDxfId="8">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76" totalsRowShown="0" headerRowDxfId="62" dataDxfId="60" headerRowBorderDxfId="61" tableBorderDxfId="59" totalsRowBorderDxfId="58" headerRowCellStyle="Millares 11 2">
  <sortState xmlns:xlrd2="http://schemas.microsoft.com/office/spreadsheetml/2017/richdata2" ref="A5:M154">
    <sortCondition sortBy="cellColor" ref="D4:D154" dxfId="7"/>
  </sortState>
  <tableColumns count="13">
    <tableColumn id="1" xr3:uid="{00000000-0010-0000-0100-000001000000}" name="N" dataDxfId="57" dataCellStyle="Millares"/>
    <tableColumn id="2" xr3:uid="{00000000-0010-0000-0100-000002000000}" name="VER MAPA" dataDxfId="56" dataCellStyle="Hipervínculo"/>
    <tableColumn id="3" xr3:uid="{00000000-0010-0000-0100-000003000000}" name="FECHA DEL EVENTO" dataDxfId="55" dataCellStyle="Título 3 2"/>
    <tableColumn id="4" xr3:uid="{00000000-0010-0000-0100-000004000000}" name="DEPARTAMENTO_x000a_PROVINCIA  /  DISTRITO" dataDxfId="54" dataCellStyle="Título 3 2"/>
    <tableColumn id="5" xr3:uid="{00000000-0010-0000-0100-000005000000}" name="AFECTACIÓN" dataDxfId="53" dataCellStyle="Título 3 3"/>
    <tableColumn id="15" xr3:uid="{00000000-0010-0000-0100-00000F000000}" name="ESTADO" dataDxfId="52" dataCellStyle="Título 3 2"/>
    <tableColumn id="6" xr3:uid="{00000000-0010-0000-0100-000006000000}" name="METRAJE" dataDxfId="51" dataCellStyle="Millares"/>
    <tableColumn id="7" xr3:uid="{00000000-0010-0000-0100-000007000000}" name="EVENTO - OCURRENCIA / ACCIONES" dataDxfId="50" dataCellStyle="Título 3 3"/>
    <tableColumn id="8" xr3:uid="{00000000-0010-0000-0100-000008000000}" name="MAQUINARIA_x000a_(Cantidad/tipo)" dataDxfId="49" dataCellStyle="Título 3 3"/>
    <tableColumn id="9" xr3:uid="{00000000-0010-0000-0100-000009000000}" name="ADMINISTRACIÓN / RESPONSABLE" dataDxfId="48" dataCellStyle="Título 3 2"/>
    <tableColumn id="10" xr3:uid="{00000000-0010-0000-0100-00000A000000}" name="VER FOTO / VIDEO" dataDxfId="47" dataCellStyle="Hipervínculo"/>
    <tableColumn id="11" xr3:uid="{00000000-0010-0000-0100-00000B000000}" name="LATITUD" dataDxfId="46" dataCellStyle="Input Custom"/>
    <tableColumn id="12" xr3:uid="{00000000-0010-0000-0100-00000C000000}" name="LONGITUD" dataDxfId="45"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44" headerRowBorderDxfId="43" tableBorderDxfId="42" totalsRowBorderDxfId="41" headerRowCellStyle="Título 3 2">
  <tableColumns count="6">
    <tableColumn id="1" xr3:uid="{00000000-0010-0000-0200-000001000000}" name="N°" dataDxfId="5" dataCellStyle="Normal 2 3 2 12 4 8"/>
    <tableColumn id="2" xr3:uid="{00000000-0010-0000-0200-000002000000}" name="DEPARTAMENTO_x000a_PROVINCIA  /  DISTRITO" dataDxfId="4"/>
    <tableColumn id="3" xr3:uid="{00000000-0010-0000-0200-000003000000}" name="AFECTACIÓN" dataDxfId="3"/>
    <tableColumn id="4" xr3:uid="{00000000-0010-0000-0200-000004000000}" name="EVENTO - OCURRENCIA" dataDxfId="1"/>
    <tableColumn id="5" xr3:uid="{00000000-0010-0000-0200-000005000000}" name="ESTADO" dataDxfId="2"/>
    <tableColumn id="6" xr3:uid="{00000000-0010-0000-0200-000006000000}" name="FUENTE" dataDxfId="40"/>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39" dataDxfId="37" headerRowBorderDxfId="38" tableBorderDxfId="36" totalsRowBorderDxfId="35" headerRowCellStyle="Título 3 2">
  <tableColumns count="8">
    <tableColumn id="1" xr3:uid="{00000000-0010-0000-0300-000001000000}" name="N°" dataDxfId="34" dataCellStyle="Normal 2 2 2 2 5"/>
    <tableColumn id="9" xr3:uid="{00000000-0010-0000-0300-000009000000}" name="CÓDIGO" dataDxfId="33"/>
    <tableColumn id="2" xr3:uid="{00000000-0010-0000-0300-000002000000}" name="UBICACIÓN" dataDxfId="32" dataCellStyle="Título 3 2"/>
    <tableColumn id="7" xr3:uid="{00000000-0010-0000-0300-000007000000}" name="Fecha" dataDxfId="31" dataCellStyle="Título 3 2"/>
    <tableColumn id="3" xr3:uid="{00000000-0010-0000-0300-000003000000}" name="AFECTACIÓN" dataDxfId="30" dataCellStyle="Título 3 3"/>
    <tableColumn id="4" xr3:uid="{00000000-0010-0000-0300-000004000000}" name="EVENTO - OCURRENCIA" dataDxfId="29" dataCellStyle="Normal 2 2 2 2 5"/>
    <tableColumn id="5" xr3:uid="{00000000-0010-0000-0300-000005000000}" name="ESTADO" dataDxfId="28" dataCellStyle="Título 3 2"/>
    <tableColumn id="6" xr3:uid="{00000000-0010-0000-0300-000006000000}" name="FUENTE" dataDxfId="27"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26" headerRowBorderDxfId="25" tableBorderDxfId="24" totalsRowBorderDxfId="23">
  <tableColumns count="11">
    <tableColumn id="1" xr3:uid="{00000000-0010-0000-0400-000001000000}" name="Nro." dataDxfId="22" dataCellStyle="Título 3 3"/>
    <tableColumn id="2" xr3:uid="{00000000-0010-0000-0400-000002000000}" name="VER MAPA" dataDxfId="21" dataCellStyle="Hipervínculo"/>
    <tableColumn id="3" xr3:uid="{00000000-0010-0000-0400-000003000000}" name="FECHA DEL EVENTO" dataDxfId="20" dataCellStyle="Título 3 3"/>
    <tableColumn id="4" xr3:uid="{00000000-0010-0000-0400-000004000000}" name="DEPARTAMENTO_x000a_PROVINCIA  /  DISTRITO" dataDxfId="19" dataCellStyle="Título 3 3"/>
    <tableColumn id="5" xr3:uid="{00000000-0010-0000-0400-000005000000}" name="AFECTACIÓN" dataDxfId="18" dataCellStyle="Título 3 3"/>
    <tableColumn id="6" xr3:uid="{00000000-0010-0000-0400-000006000000}" name="ESTADO" dataDxfId="17" dataCellStyle="Título 3 3"/>
    <tableColumn id="7" xr3:uid="{00000000-0010-0000-0400-000007000000}" name="EVENTO - OCURRENCIA" dataDxfId="16" dataCellStyle="Título 3 3"/>
    <tableColumn id="8" xr3:uid="{00000000-0010-0000-0400-000008000000}" name="FUENTE" dataDxfId="15" dataCellStyle="Título 3 3"/>
    <tableColumn id="11" xr3:uid="{00000000-0010-0000-0400-00000B000000}" name="VER FOTO / VIDEO" dataDxfId="14" dataCellStyle="Título 3 3"/>
    <tableColumn id="9" xr3:uid="{00000000-0010-0000-0400-000009000000}" name="LATITUD" dataDxfId="13" dataCellStyle="Millares"/>
    <tableColumn id="10" xr3:uid="{00000000-0010-0000-0400-00000A000000}" name="LONGITUD" dataDxfId="12"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I_VIALES005452_20260215031758.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I_VIALES005293_20260128043539.pdf" TargetMode="External"/><Relationship Id="rId324" Type="http://schemas.openxmlformats.org/officeDocument/2006/relationships/hyperlink" Target="https://arsaecoe.mtc.gob.pe/vial/VIAL_R_VIALES005366_20260203043352.pdf" TargetMode="External"/><Relationship Id="rId170" Type="http://schemas.openxmlformats.org/officeDocument/2006/relationships/hyperlink" Target="https://arsaecoe.mtc.gob.pe/vial/VIAL_I_VIALES005300_20260129062757.pdf" TargetMode="External"/><Relationship Id="rId226" Type="http://schemas.openxmlformats.org/officeDocument/2006/relationships/hyperlink" Target="https://arsaecoe.mtc.gob.pe/vial/VIAL_I_VIALES005383_20260205025630.pdf" TargetMode="External"/><Relationship Id="rId268" Type="http://schemas.openxmlformats.org/officeDocument/2006/relationships/hyperlink" Target="https://arsaecoe.mtc.gob.pe/vial/VIAL_I_VIALES005424_20260210044617.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I_VIALES005249_20260122035930.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I_VIALES005316_20260131124007.pdf" TargetMode="External"/><Relationship Id="rId237" Type="http://schemas.openxmlformats.org/officeDocument/2006/relationships/hyperlink" Target="https://arsaecoe.mtc.gob.pe/vial/VIAL_I_VIALES005391_20260206085409.pdf" TargetMode="External"/><Relationship Id="rId279" Type="http://schemas.openxmlformats.org/officeDocument/2006/relationships/hyperlink" Target="https://arsaecoe.mtc.gob.pe/vial/VIAL_I_VIALES005430_20260212071412.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I_VIALES005273_20260127102005.pdf" TargetMode="External"/><Relationship Id="rId290" Type="http://schemas.openxmlformats.org/officeDocument/2006/relationships/hyperlink" Target="https://arsaecoe.mtc.gob.pe/vial/VIAL_R_VIALES005444_20260213050328.pdf" TargetMode="External"/><Relationship Id="rId304" Type="http://schemas.openxmlformats.org/officeDocument/2006/relationships/hyperlink" Target="https://arsaecoe.mtc.gob.pe/vial/VIAL_I_VIALES005454_20260216121420.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8_20260128010320.pdf" TargetMode="External"/><Relationship Id="rId192" Type="http://schemas.openxmlformats.org/officeDocument/2006/relationships/hyperlink" Target="https://arsaecoe.mtc.gob.pe/vial/VIAL_I_VIALES005329_20260131101447.pdf" TargetMode="External"/><Relationship Id="rId206" Type="http://schemas.openxmlformats.org/officeDocument/2006/relationships/hyperlink" Target="https://arsaecoe.mtc.gob.pe/vial/VIAL_I_VIALES005358_20260203111939.pdf" TargetMode="External"/><Relationship Id="rId248" Type="http://schemas.openxmlformats.org/officeDocument/2006/relationships/hyperlink" Target="https://arsaecoe.mtc.gob.pe/vial/VIAL_R_VIALES005410_20260210090352.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I_VIALES005215_20260118112312.pdf" TargetMode="External"/><Relationship Id="rId315" Type="http://schemas.openxmlformats.org/officeDocument/2006/relationships/hyperlink" Target="https://arsaecoe.mtc.gob.pe/vial/VIAL_R_VIALES005468_20260217072942.pdf" TargetMode="External"/><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I_VIALES005290_20260128073319.pdf" TargetMode="External"/><Relationship Id="rId217" Type="http://schemas.openxmlformats.org/officeDocument/2006/relationships/hyperlink" Target="https://arsaecoe.mtc.gob.pe/vial/VIAL_I_VIALES005367_20260203045818.pdf" TargetMode="External"/><Relationship Id="rId259" Type="http://schemas.openxmlformats.org/officeDocument/2006/relationships/hyperlink" Target="https://arsaecoe.mtc.gob.pe/vial/VIAL_R_VIALES005416_20260209064530.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I_VIALES005425_20260211103958.pdf" TargetMode="External"/><Relationship Id="rId326" Type="http://schemas.openxmlformats.org/officeDocument/2006/relationships/hyperlink" Target="https://arsaecoe.mtc.gob.pe/vial/VIAL_R_VIALES005470_20260217103752.pdf" TargetMode="Externa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I_VIALES005251_20260122081756.pdf" TargetMode="External"/><Relationship Id="rId172" Type="http://schemas.openxmlformats.org/officeDocument/2006/relationships/hyperlink" Target="https://arsaecoe.mtc.gob.pe/vial/VIAL_R_VIALES005310_20260129121237.pdf" TargetMode="External"/><Relationship Id="rId228" Type="http://schemas.openxmlformats.org/officeDocument/2006/relationships/hyperlink" Target="https://arsaecoe.mtc.gob.pe/vial/VIAL_I_VIALES005346_20260202103452.pdf" TargetMode="External"/><Relationship Id="rId281" Type="http://schemas.openxmlformats.org/officeDocument/2006/relationships/hyperlink" Target="https://arsaecoe.mtc.gob.pe/vial/VIAL_I_VIALES005431_20260212074431.pdf" TargetMode="External"/><Relationship Id="rId34" Type="http://schemas.openxmlformats.org/officeDocument/2006/relationships/hyperlink" Target="https://arsaecoe.mtc.gob.pe/vial/VIAL_I_VIALES004785_20251022094446.pdf" TargetMode="External"/><Relationship Id="rId76" Type="http://schemas.openxmlformats.org/officeDocument/2006/relationships/hyperlink" Target="https://arsaecoe.mtc.gob.pe/vial/VIAL_I_VIALES005091_20251231043252.pdf" TargetMode="External"/><Relationship Id="rId141" Type="http://schemas.openxmlformats.org/officeDocument/2006/relationships/hyperlink" Target="https://arsaecoe.mtc.gob.pe/vial/VIAL_R_VIALES005276_20260127011901.pdf" TargetMode="External"/><Relationship Id="rId7" Type="http://schemas.openxmlformats.org/officeDocument/2006/relationships/hyperlink" Target="https://arsaecoe.mtc.gob.pe/vial/VIAL_R_VIALES003538_20250320040427.pdf" TargetMode="External"/><Relationship Id="rId183" Type="http://schemas.openxmlformats.org/officeDocument/2006/relationships/hyperlink" Target="https://arsaecoe.mtc.gob.pe/vial/VIAL_I_VIALES005324_20260131082300.pdf" TargetMode="External"/><Relationship Id="rId239" Type="http://schemas.openxmlformats.org/officeDocument/2006/relationships/hyperlink" Target="https://arsaecoe.mtc.gob.pe/vial/VIAL_R_VIALES005396_20260207101116.pdf" TargetMode="External"/><Relationship Id="rId250" Type="http://schemas.openxmlformats.org/officeDocument/2006/relationships/hyperlink" Target="https://arsaecoe.mtc.gob.pe/vial/VIAL_R_VIALES005411_20260209105201.pdf" TargetMode="External"/><Relationship Id="rId292" Type="http://schemas.openxmlformats.org/officeDocument/2006/relationships/hyperlink" Target="https://arsaecoe.mtc.gob.pe/vial/VIAL_R_VIALES005447_20260214095024.pdf" TargetMode="External"/><Relationship Id="rId306" Type="http://schemas.openxmlformats.org/officeDocument/2006/relationships/hyperlink" Target="https://arsaecoe.mtc.gob.pe/vial/VIAL_I_VIALES005457_20260216034400.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R_VIALES005252_20260122090220.pdf" TargetMode="External"/><Relationship Id="rId327" Type="http://schemas.openxmlformats.org/officeDocument/2006/relationships/hyperlink" Target="https://arsaecoe.mtc.gob.pe/vial/VIAL_R_VIALES005469_20260217105449.pdf" TargetMode="External"/><Relationship Id="rId152" Type="http://schemas.openxmlformats.org/officeDocument/2006/relationships/hyperlink" Target="https://arsaecoe.mtc.gob.pe/vial/VIAL_R_VIALES005291_20260131121639.pdf" TargetMode="External"/><Relationship Id="rId173" Type="http://schemas.openxmlformats.org/officeDocument/2006/relationships/hyperlink" Target="https://arsaecoe.mtc.gob.pe/vial/VIAL_R_VIALES005316_20260130104916.pdf" TargetMode="External"/><Relationship Id="rId194" Type="http://schemas.openxmlformats.org/officeDocument/2006/relationships/hyperlink" Target="https://arsaecoe.mtc.gob.pe/vial/VIAL_I_VIALES005333_20260131051919.pdf" TargetMode="External"/><Relationship Id="rId208" Type="http://schemas.openxmlformats.org/officeDocument/2006/relationships/hyperlink" Target="https://arsaecoe.mtc.gob.pe/vial/VIAL_R_VIALES005360_20260203115332.pdf" TargetMode="External"/><Relationship Id="rId229" Type="http://schemas.openxmlformats.org/officeDocument/2006/relationships/hyperlink" Target="https://arsaecoe.mtc.gob.pe/vial/VIAL_R_VIALES005346_20260202101608.pdf" TargetMode="External"/><Relationship Id="rId240" Type="http://schemas.openxmlformats.org/officeDocument/2006/relationships/hyperlink" Target="https://arsaecoe.mtc.gob.pe/vial/VIAL_R_VIALES005398_20260207055619.pdf" TargetMode="External"/><Relationship Id="rId261" Type="http://schemas.openxmlformats.org/officeDocument/2006/relationships/hyperlink" Target="https://arsaecoe.mtc.gob.pe/vial/VIAL_I_VIALES005416_20260209064702.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36_20260212030445.pdf" TargetMode="External"/><Relationship Id="rId317" Type="http://schemas.openxmlformats.org/officeDocument/2006/relationships/hyperlink" Target="https://arsaecoe.mtc.gob.pe/vial/VIAL_R_VIALES005470_20260217103752.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I_VIALES005276_20260127011901.pdf" TargetMode="External"/><Relationship Id="rId163" Type="http://schemas.openxmlformats.org/officeDocument/2006/relationships/hyperlink" Target="https://arsaecoe.mtc.gob.pe/vial/VIAL_I_VIALES005298_20260128095338.pdf" TargetMode="External"/><Relationship Id="rId184" Type="http://schemas.openxmlformats.org/officeDocument/2006/relationships/hyperlink" Target="https://arsaecoe.mtc.gob.pe/vial/VIAL_R_VIALES005323_20260130033537.pdf" TargetMode="External"/><Relationship Id="rId219" Type="http://schemas.openxmlformats.org/officeDocument/2006/relationships/hyperlink" Target="https://arsaecoe.mtc.gob.pe/vial/VIAL_I_VIALES005370_20260204061926.pdf" TargetMode="External"/><Relationship Id="rId230" Type="http://schemas.openxmlformats.org/officeDocument/2006/relationships/hyperlink" Target="https://arsaecoe.mtc.gob.pe/vial/VIAL_R_VIALES005389_20260206111013.pdf" TargetMode="External"/><Relationship Id="rId251" Type="http://schemas.openxmlformats.org/officeDocument/2006/relationships/hyperlink" Target="https://arsaecoe.mtc.gob.pe/vial/VIAL_I_VIALES005411_20260209105201.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I_VIALES005426_20260211110707.pdf" TargetMode="External"/><Relationship Id="rId293" Type="http://schemas.openxmlformats.org/officeDocument/2006/relationships/hyperlink" Target="https://arsaecoe.mtc.gob.pe/vial/VIAL_I_VIALES005447_20260214095024.pdf" TargetMode="External"/><Relationship Id="rId307" Type="http://schemas.openxmlformats.org/officeDocument/2006/relationships/hyperlink" Target="https://arsaecoe.mtc.gob.pe/vial/VIAL_R_VIALES005455_20260216045348.pdf" TargetMode="External"/><Relationship Id="rId328" Type="http://schemas.openxmlformats.org/officeDocument/2006/relationships/hyperlink" Target="https://arsaecoe.mtc.gob.pe/vial/VIAL_I_VIALES005473_20260217061356.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I_VIALES005252_20260122090220.pdf" TargetMode="External"/><Relationship Id="rId153" Type="http://schemas.openxmlformats.org/officeDocument/2006/relationships/hyperlink" Target="https://arsaecoe.mtc.gob.pe/vial/VIAL_R_VIALES005289_20260128024702.pdf" TargetMode="External"/><Relationship Id="rId174" Type="http://schemas.openxmlformats.org/officeDocument/2006/relationships/hyperlink" Target="https://arsaecoe.mtc.gob.pe/vial/VIAL_I_VIALES005304_20260130103142.pdf" TargetMode="External"/><Relationship Id="rId195" Type="http://schemas.openxmlformats.org/officeDocument/2006/relationships/hyperlink" Target="https://arsaecoe.mtc.gob.pe/vial/VIAL_I_VIALES005340_20260201083425.pdf" TargetMode="External"/><Relationship Id="rId209" Type="http://schemas.openxmlformats.org/officeDocument/2006/relationships/hyperlink" Target="https://arsaecoe.mtc.gob.pe/vial/VIAL_I_VIALES005353_20260203113717.pdf" TargetMode="External"/><Relationship Id="rId220" Type="http://schemas.openxmlformats.org/officeDocument/2006/relationships/hyperlink" Target="https://arsaecoe.mtc.gob.pe/vial/VIAL_I_VIALES005348_20260202120103.pdf" TargetMode="External"/><Relationship Id="rId241" Type="http://schemas.openxmlformats.org/officeDocument/2006/relationships/hyperlink" Target="https://arsaecoe.mtc.gob.pe/vial/VIAL_R_VIALES005399_20260207065631.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I_VIALES005417_20260209064736.pdf" TargetMode="External"/><Relationship Id="rId283" Type="http://schemas.openxmlformats.org/officeDocument/2006/relationships/hyperlink" Target="https://arsaecoe.mtc.gob.pe/vial/VIAL_R_VIALES005438_20260212042750.pdf" TargetMode="External"/><Relationship Id="rId318" Type="http://schemas.openxmlformats.org/officeDocument/2006/relationships/hyperlink" Target="https://arsaecoe.mtc.gob.pe/vial/VIAL_I_VIALES005467_20260216104617.pdf" TargetMode="External"/><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I_VIALES005236_20260120033141.pdf" TargetMode="External"/><Relationship Id="rId143" Type="http://schemas.openxmlformats.org/officeDocument/2006/relationships/hyperlink" Target="https://arsaecoe.mtc.gob.pe/vial/VIAL_I_VIALES005278_20260127094949.pdf" TargetMode="External"/><Relationship Id="rId164" Type="http://schemas.openxmlformats.org/officeDocument/2006/relationships/hyperlink" Target="https://arsaecoe.mtc.gob.pe/vial/VIAL_I_VIALES005297_20260128102217.pdf" TargetMode="External"/><Relationship Id="rId185" Type="http://schemas.openxmlformats.org/officeDocument/2006/relationships/hyperlink" Target="https://arsaecoe.mtc.gob.pe/vial/VIAL_I_VIALES005323_20260130033537.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R_VIALES005266_20260214081800.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89_20260206111013.pdf" TargetMode="External"/><Relationship Id="rId252" Type="http://schemas.openxmlformats.org/officeDocument/2006/relationships/hyperlink" Target="https://arsaecoe.mtc.gob.pe/vial/VIAL_I_VIALES005408_20260209105730.pdf" TargetMode="External"/><Relationship Id="rId273" Type="http://schemas.openxmlformats.org/officeDocument/2006/relationships/hyperlink" Target="https://arsaecoe.mtc.gob.pe/vial/VIAL_R_VIALES005427_20260211011119.pdf" TargetMode="External"/><Relationship Id="rId294" Type="http://schemas.openxmlformats.org/officeDocument/2006/relationships/hyperlink" Target="https://arsaecoe.mtc.gob.pe/vial/VIAL_R_VIALES005449_20260215084237.pdf" TargetMode="External"/><Relationship Id="rId308" Type="http://schemas.openxmlformats.org/officeDocument/2006/relationships/hyperlink" Target="https://arsaecoe.mtc.gob.pe/vial/VIAL_I_VIALES005455_20260216115858.pdf" TargetMode="External"/><Relationship Id="rId329" Type="http://schemas.openxmlformats.org/officeDocument/2006/relationships/hyperlink" Target="https://arsaecoe.mtc.gob.pe/vial/VIAL_R_VIALES005475_20260217054928.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R_VIALES005256_20260123054002.pdf" TargetMode="External"/><Relationship Id="rId154" Type="http://schemas.openxmlformats.org/officeDocument/2006/relationships/hyperlink" Target="https://arsaecoe.mtc.gob.pe/vial/VIAL_I_VIALES005289_20260128030955.pdf" TargetMode="External"/><Relationship Id="rId175" Type="http://schemas.openxmlformats.org/officeDocument/2006/relationships/hyperlink" Target="https://arsaecoe.mtc.gob.pe/vial/VIAL_I_VIALES005310_20260130101809.pdf" TargetMode="External"/><Relationship Id="rId196" Type="http://schemas.openxmlformats.org/officeDocument/2006/relationships/hyperlink" Target="https://arsaecoe.mtc.gob.pe/vial/VIAL_R_VIALES005340_20260201064001.pdf" TargetMode="External"/><Relationship Id="rId200" Type="http://schemas.openxmlformats.org/officeDocument/2006/relationships/hyperlink" Target="https://arsaecoe.mtc.gob.pe/vial/VIAL_R_VIALES005354_20260202062922.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I_VIALES005359_20260204113900.pdf" TargetMode="External"/><Relationship Id="rId242" Type="http://schemas.openxmlformats.org/officeDocument/2006/relationships/hyperlink" Target="https://arsaecoe.mtc.gob.pe/vial/VIAL_I_VIALES005396_20260207070029.pdf" TargetMode="External"/><Relationship Id="rId263" Type="http://schemas.openxmlformats.org/officeDocument/2006/relationships/hyperlink" Target="https://arsaecoe.mtc.gob.pe/vial/VIAL_R_VIALES005419_20260210122127.pdf" TargetMode="External"/><Relationship Id="rId284" Type="http://schemas.openxmlformats.org/officeDocument/2006/relationships/hyperlink" Target="https://arsaecoe.mtc.gob.pe/vial/VIAL_I_VIALES005438_20260212061635.pdf" TargetMode="External"/><Relationship Id="rId319" Type="http://schemas.openxmlformats.org/officeDocument/2006/relationships/hyperlink" Target="https://arsaecoe.mtc.gob.pe/vial/VIAL_R_VIALES005469_20260217105449.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R_VIALES005237_20260120034013.pdf" TargetMode="External"/><Relationship Id="rId144" Type="http://schemas.openxmlformats.org/officeDocument/2006/relationships/hyperlink" Target="https://arsaecoe.mtc.gob.pe/vial/VIAL_R_VIALES005278_20260127094949.pdf" TargetMode="External"/><Relationship Id="rId330" Type="http://schemas.openxmlformats.org/officeDocument/2006/relationships/hyperlink" Target="https://arsaecoe.mtc.gob.pe/vial/VIAL_I_VIALES005475_20260217055254.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287_20260128102645.pdf" TargetMode="External"/><Relationship Id="rId186" Type="http://schemas.openxmlformats.org/officeDocument/2006/relationships/hyperlink" Target="https://arsaecoe.mtc.gob.pe/vial/VIAL_R_VIALES005325_20260130040631.pdf" TargetMode="External"/><Relationship Id="rId211" Type="http://schemas.openxmlformats.org/officeDocument/2006/relationships/hyperlink" Target="https://arsaecoe.mtc.gob.pe/vial/VIAL_I_VIALES005266_20260210082121.pdf" TargetMode="External"/><Relationship Id="rId232" Type="http://schemas.openxmlformats.org/officeDocument/2006/relationships/hyperlink" Target="https://arsaecoe.mtc.gob.pe/vial/VIAL_R_VIALES005391_20260206121606.pdf" TargetMode="External"/><Relationship Id="rId253" Type="http://schemas.openxmlformats.org/officeDocument/2006/relationships/hyperlink" Target="https://arsaecoe.mtc.gob.pe/vial/VIAL_R_VIALES005413_20260209023225.pdf" TargetMode="External"/><Relationship Id="rId274" Type="http://schemas.openxmlformats.org/officeDocument/2006/relationships/hyperlink" Target="https://arsaecoe.mtc.gob.pe/vial/VIAL_I_VIALES005427_20260211045959.pdf" TargetMode="External"/><Relationship Id="rId295" Type="http://schemas.openxmlformats.org/officeDocument/2006/relationships/hyperlink" Target="https://arsaecoe.mtc.gob.pe/vial/VIAL_I_VIALES005449_20260215103354.pdf" TargetMode="External"/><Relationship Id="rId309" Type="http://schemas.openxmlformats.org/officeDocument/2006/relationships/hyperlink" Target="https://arsaecoe.mtc.gob.pe/vial/VIAL_R_VIALES005465_20260216055239.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I_VIALES005256_20260124012718.pdf" TargetMode="External"/><Relationship Id="rId320" Type="http://schemas.openxmlformats.org/officeDocument/2006/relationships/hyperlink" Target="https://arsaecoe.mtc.gob.pe/vial/VIAL_R_VIALES005472_20260217121651.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5_20260128045244.pdf" TargetMode="External"/><Relationship Id="rId176" Type="http://schemas.openxmlformats.org/officeDocument/2006/relationships/hyperlink" Target="https://arsaecoe.mtc.gob.pe/vial/VIAL_R_VIALES005313_20260129125041.pdf" TargetMode="External"/><Relationship Id="rId197" Type="http://schemas.openxmlformats.org/officeDocument/2006/relationships/hyperlink" Target="https://arsaecoe.mtc.gob.pe/vial/VIAL_R_VIALES005348_20260202120103.pdf" TargetMode="External"/><Relationship Id="rId201" Type="http://schemas.openxmlformats.org/officeDocument/2006/relationships/hyperlink" Target="https://arsaecoe.mtc.gob.pe/vial/VIAL_I_VIALES005352_20260202065523.pdf" TargetMode="External"/><Relationship Id="rId222" Type="http://schemas.openxmlformats.org/officeDocument/2006/relationships/hyperlink" Target="https://arsaecoe.mtc.gob.pe/vial/VIAL_I_VIALES005360_20260204113606.pdf" TargetMode="External"/><Relationship Id="rId243" Type="http://schemas.openxmlformats.org/officeDocument/2006/relationships/hyperlink" Target="https://arsaecoe.mtc.gob.pe/vial/VIAL_R_VIALES005404_20260208073746.pdf" TargetMode="External"/><Relationship Id="rId264" Type="http://schemas.openxmlformats.org/officeDocument/2006/relationships/hyperlink" Target="https://arsaecoe.mtc.gob.pe/vial/VIAL_I_VIALES005419_20260210122127.pdf" TargetMode="External"/><Relationship Id="rId285" Type="http://schemas.openxmlformats.org/officeDocument/2006/relationships/hyperlink" Target="https://arsaecoe.mtc.gob.pe/vial/VIAL_I_VIALES005436_20260212061554.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I_VIALES005237_20260121114652.pdf" TargetMode="External"/><Relationship Id="rId310" Type="http://schemas.openxmlformats.org/officeDocument/2006/relationships/hyperlink" Target="https://arsaecoe.mtc.gob.pe/vial/VIAL_R_VIALES005466_20260216063212.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80_20260127064919.pdf" TargetMode="External"/><Relationship Id="rId166" Type="http://schemas.openxmlformats.org/officeDocument/2006/relationships/hyperlink" Target="https://arsaecoe.mtc.gob.pe/vial/VIAL_I_VIALES005291_20260131121624.pdf" TargetMode="External"/><Relationship Id="rId187" Type="http://schemas.openxmlformats.org/officeDocument/2006/relationships/hyperlink" Target="https://arsaecoe.mtc.gob.pe/vial/VIAL_I_VIALES005325_20260130040631.pdf" TargetMode="External"/><Relationship Id="rId331" Type="http://schemas.openxmlformats.org/officeDocument/2006/relationships/printerSettings" Target="../printerSettings/printerSettings2.bin"/><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R_VIALES005365_20260203052638.pdf" TargetMode="External"/><Relationship Id="rId233" Type="http://schemas.openxmlformats.org/officeDocument/2006/relationships/hyperlink" Target="https://arsaecoe.mtc.gob.pe/vial/VIAL_R_VIALES005390_20260206114224.pdf" TargetMode="External"/><Relationship Id="rId254" Type="http://schemas.openxmlformats.org/officeDocument/2006/relationships/hyperlink" Target="https://arsaecoe.mtc.gob.pe/vial/VIAL_I_VIALES005325_20260130040631.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R_VIALES005428_20260211070720.pdf" TargetMode="External"/><Relationship Id="rId296" Type="http://schemas.openxmlformats.org/officeDocument/2006/relationships/hyperlink" Target="https://arsaecoe.mtc.gob.pe/vial/VIAL_R_VIALES005451_20260215025344.pdf" TargetMode="External"/><Relationship Id="rId300" Type="http://schemas.openxmlformats.org/officeDocument/2006/relationships/hyperlink" Target="https://arsaecoe.mtc.gob.pe/vial/VIAL_R_VIALES005453_20260217071132.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R_VIALES005264_20260126111735.pdf" TargetMode="External"/><Relationship Id="rId156" Type="http://schemas.openxmlformats.org/officeDocument/2006/relationships/hyperlink" Target="https://arsaecoe.mtc.gob.pe/vial/VIAL_R_VIALES005292_20260128042209.pdf" TargetMode="External"/><Relationship Id="rId177" Type="http://schemas.openxmlformats.org/officeDocument/2006/relationships/hyperlink" Target="https://arsaecoe.mtc.gob.pe/vial/VIAL_I_VIALES005313_20260130102506.pdf" TargetMode="External"/><Relationship Id="rId198" Type="http://schemas.openxmlformats.org/officeDocument/2006/relationships/hyperlink" Target="https://arsaecoe.mtc.gob.pe/vial/VIAL_R_VIALES005352_20260202043232.pdf" TargetMode="External"/><Relationship Id="rId321" Type="http://schemas.openxmlformats.org/officeDocument/2006/relationships/hyperlink" Target="https://arsaecoe.mtc.gob.pe/vial/VIAL_R_VIALES005471_20260217112933.pdf" TargetMode="External"/><Relationship Id="rId202" Type="http://schemas.openxmlformats.org/officeDocument/2006/relationships/hyperlink" Target="https://arsaecoe.mtc.gob.pe/vial/VIAL_R_VIALES005357_20260202102855.pdf" TargetMode="External"/><Relationship Id="rId223" Type="http://schemas.openxmlformats.org/officeDocument/2006/relationships/hyperlink" Target="https://arsaecoe.mtc.gob.pe/vial/VIAL_R_VIALES005383_20260205122041.pdf" TargetMode="External"/><Relationship Id="rId244" Type="http://schemas.openxmlformats.org/officeDocument/2006/relationships/hyperlink" Target="https://arsaecoe.mtc.gob.pe/vial/VIAL_I_VIALES005404_20260208080621.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R_VIALES005423_20260210034312.pdf" TargetMode="External"/><Relationship Id="rId286" Type="http://schemas.openxmlformats.org/officeDocument/2006/relationships/hyperlink" Target="https://arsaecoe.mtc.gob.pe/vial/VIAL_R_VIALES005442_20260213123518.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R_VIALES005246_20260121063933.pdf" TargetMode="External"/><Relationship Id="rId146" Type="http://schemas.openxmlformats.org/officeDocument/2006/relationships/hyperlink" Target="https://arsaecoe.mtc.gob.pe/vial/VIAL_I_VIALES005280_20260206112809.pdf" TargetMode="External"/><Relationship Id="rId167" Type="http://schemas.openxmlformats.org/officeDocument/2006/relationships/hyperlink" Target="https://arsaecoe.mtc.gob.pe/vial/VIAL_I_VIALES005288_20260128103612.pdf" TargetMode="External"/><Relationship Id="rId188" Type="http://schemas.openxmlformats.org/officeDocument/2006/relationships/hyperlink" Target="https://arsaecoe.mtc.gob.pe/vial/VIAL_R_VIALES005329_20260130065117.pdf" TargetMode="External"/><Relationship Id="rId311" Type="http://schemas.openxmlformats.org/officeDocument/2006/relationships/hyperlink" Target="https://arsaecoe.mtc.gob.pe/vial/VIAL_I_VIALES005466_20260216063212.pdf" TargetMode="External"/><Relationship Id="rId332" Type="http://schemas.openxmlformats.org/officeDocument/2006/relationships/drawing" Target="../drawings/drawing2.xm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I_VIALES005365_20260206052558.pdf" TargetMode="External"/><Relationship Id="rId234" Type="http://schemas.openxmlformats.org/officeDocument/2006/relationships/hyperlink" Target="https://arsaecoe.mtc.gob.pe/vial/VIAL_I_VIALES005390_20260206114603.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R_VIALES005414_20260209025404.pdf" TargetMode="External"/><Relationship Id="rId276" Type="http://schemas.openxmlformats.org/officeDocument/2006/relationships/hyperlink" Target="https://arsaecoe.mtc.gob.pe/vial/VIAL_I_VIALES005428_20260211070720.pdf" TargetMode="External"/><Relationship Id="rId297" Type="http://schemas.openxmlformats.org/officeDocument/2006/relationships/hyperlink" Target="https://arsaecoe.mtc.gob.pe/vial/VIAL_I_VIALES005451_20260215025344.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I_VIALES005264_20260126111735.pdf" TargetMode="External"/><Relationship Id="rId157" Type="http://schemas.openxmlformats.org/officeDocument/2006/relationships/hyperlink" Target="https://arsaecoe.mtc.gob.pe/vial/VIAL_I_VIALES005292_20260128042209.pdf" TargetMode="External"/><Relationship Id="rId178" Type="http://schemas.openxmlformats.org/officeDocument/2006/relationships/hyperlink" Target="https://arsaecoe.mtc.gob.pe/vial/VIAL_R_VIALES005320_20260130121122.pdf" TargetMode="External"/><Relationship Id="rId301" Type="http://schemas.openxmlformats.org/officeDocument/2006/relationships/hyperlink" Target="https://arsaecoe.mtc.gob.pe/vial/VIAL_R_VIALES005433_20260212110435.pdf" TargetMode="External"/><Relationship Id="rId322" Type="http://schemas.openxmlformats.org/officeDocument/2006/relationships/hyperlink" Target="https://arsaecoe.mtc.gob.pe/vial/VIAL_R_VIALES005473_20260217035130.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353_20260202050342.pdf" TargetMode="External"/><Relationship Id="rId203" Type="http://schemas.openxmlformats.org/officeDocument/2006/relationships/hyperlink" Target="https://arsaecoe.mtc.gob.pe/vial/VIAL_I_VIALES005357_20260202102855.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R_VIALES005384_20260205010834.pdf" TargetMode="External"/><Relationship Id="rId245" Type="http://schemas.openxmlformats.org/officeDocument/2006/relationships/hyperlink" Target="https://arsaecoe.mtc.gob.pe/vial/VIAL_R_VIALES005408_20260209073403.pdf" TargetMode="External"/><Relationship Id="rId266" Type="http://schemas.openxmlformats.org/officeDocument/2006/relationships/hyperlink" Target="https://arsaecoe.mtc.gob.pe/vial/VIAL_I_VIALES005423_20260215105901.pdf" TargetMode="External"/><Relationship Id="rId287" Type="http://schemas.openxmlformats.org/officeDocument/2006/relationships/hyperlink" Target="https://arsaecoe.mtc.gob.pe/vial/VIAL_I_VIALES005442_20260213013312.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I_VIALES005246_20260121063933.pdf" TargetMode="External"/><Relationship Id="rId147" Type="http://schemas.openxmlformats.org/officeDocument/2006/relationships/hyperlink" Target="https://arsaecoe.mtc.gob.pe/vial/VIAL_R_VIALES005281_20260127105451.pdf" TargetMode="External"/><Relationship Id="rId168" Type="http://schemas.openxmlformats.org/officeDocument/2006/relationships/hyperlink" Target="https://arsaecoe.mtc.gob.pe/vial/VIAL_I_VIALES005295_20260128104634.pdf" TargetMode="External"/><Relationship Id="rId312" Type="http://schemas.openxmlformats.org/officeDocument/2006/relationships/hyperlink" Target="https://arsaecoe.mtc.gob.pe/vial/VIAL_I_VIALES005465_20260216083330.pdf" TargetMode="External"/><Relationship Id="rId333" Type="http://schemas.openxmlformats.org/officeDocument/2006/relationships/table" Target="../tables/table2.xm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30_20260130065416.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R_VIALES005366_20260203043352.pdf" TargetMode="External"/><Relationship Id="rId235" Type="http://schemas.openxmlformats.org/officeDocument/2006/relationships/hyperlink" Target="https://arsaecoe.mtc.gob.pe/vial/VIAL_R_VIALES005393_20260206011450.pdf" TargetMode="External"/><Relationship Id="rId256" Type="http://schemas.openxmlformats.org/officeDocument/2006/relationships/hyperlink" Target="https://arsaecoe.mtc.gob.pe/vial/VIAL_I_VIALES005414_20260209025404.pdf" TargetMode="External"/><Relationship Id="rId277" Type="http://schemas.openxmlformats.org/officeDocument/2006/relationships/hyperlink" Target="https://arsaecoe.mtc.gob.pe/vial/VIAL_I_VIALES005248_20260131100659.pdf" TargetMode="External"/><Relationship Id="rId298" Type="http://schemas.openxmlformats.org/officeDocument/2006/relationships/hyperlink" Target="https://arsaecoe.mtc.gob.pe/vial/VIAL_R_VIALES005452_20260215031709.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R_VIALES005265_20260126113140.pdf" TargetMode="External"/><Relationship Id="rId158" Type="http://schemas.openxmlformats.org/officeDocument/2006/relationships/hyperlink" Target="https://arsaecoe.mtc.gob.pe/vial/VIAL_R_VIALES005293_20260128043539.pdf" TargetMode="External"/><Relationship Id="rId302" Type="http://schemas.openxmlformats.org/officeDocument/2006/relationships/hyperlink" Target="https://arsaecoe.mtc.gob.pe/vial/VIAL_I_VIALES005433_20260212111211.pdf" TargetMode="External"/><Relationship Id="rId323" Type="http://schemas.openxmlformats.org/officeDocument/2006/relationships/hyperlink" Target="https://arsaecoe.mtc.gob.pe/vial/VIAL_R_VIALES005474_20260217041408.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I_VIALES005320_20260130121122.pdf" TargetMode="External"/><Relationship Id="rId190" Type="http://schemas.openxmlformats.org/officeDocument/2006/relationships/hyperlink" Target="https://arsaecoe.mtc.gob.pe/vial/VIAL_I_VIALES005319_20260130075144.pdf" TargetMode="External"/><Relationship Id="rId204" Type="http://schemas.openxmlformats.org/officeDocument/2006/relationships/hyperlink" Target="https://arsaecoe.mtc.gob.pe/vial/VIAL_I_VIALES005354_20260202104604.pdf" TargetMode="External"/><Relationship Id="rId225" Type="http://schemas.openxmlformats.org/officeDocument/2006/relationships/hyperlink" Target="https://arsaecoe.mtc.gob.pe/vial/VIAL_I_VIALES005384_20260205011045.pdf" TargetMode="External"/><Relationship Id="rId246" Type="http://schemas.openxmlformats.org/officeDocument/2006/relationships/hyperlink" Target="https://arsaecoe.mtc.gob.pe/vial/VIAL_R_VIALES005409_20260210085740.pdf" TargetMode="External"/><Relationship Id="rId267" Type="http://schemas.openxmlformats.org/officeDocument/2006/relationships/hyperlink" Target="https://arsaecoe.mtc.gob.pe/vial/VIAL_R_VIALES005424_20260210044617.pdf" TargetMode="External"/><Relationship Id="rId288" Type="http://schemas.openxmlformats.org/officeDocument/2006/relationships/hyperlink" Target="https://arsaecoe.mtc.gob.pe/vial/VIAL_R_VIALES005443_20260213013500.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R_VIALES005249_20260122040937.pdf" TargetMode="External"/><Relationship Id="rId313" Type="http://schemas.openxmlformats.org/officeDocument/2006/relationships/hyperlink" Target="https://arsaecoe.mtc.gob.pe/vial/VIAL_R_VIALES005467_20260217102639.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I_VIALES005281_20260131083146.pdf" TargetMode="External"/><Relationship Id="rId169" Type="http://schemas.openxmlformats.org/officeDocument/2006/relationships/hyperlink" Target="https://arsaecoe.mtc.gob.pe/vial/VIAL_R_VIALES005300_20260129062956.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R_VIALES005319_20260130120009.pdf" TargetMode="External"/><Relationship Id="rId215" Type="http://schemas.openxmlformats.org/officeDocument/2006/relationships/hyperlink" Target="https://arsaecoe.mtc.gob.pe/vial/VIAL_I_VIALES005366_20260203043352.pdf" TargetMode="External"/><Relationship Id="rId236" Type="http://schemas.openxmlformats.org/officeDocument/2006/relationships/hyperlink" Target="https://arsaecoe.mtc.gob.pe/vial/VIAL_I_VIALES005393_20260206011450.pdf" TargetMode="External"/><Relationship Id="rId257" Type="http://schemas.openxmlformats.org/officeDocument/2006/relationships/hyperlink" Target="https://arsaecoe.mtc.gob.pe/vial/VIAL_R_VIALES005415_20260209024640.pdf" TargetMode="External"/><Relationship Id="rId278" Type="http://schemas.openxmlformats.org/officeDocument/2006/relationships/hyperlink" Target="https://arsaecoe.mtc.gob.pe/vial/VIAL_R_VIALES005430_20260212071412.pdf" TargetMode="External"/><Relationship Id="rId303" Type="http://schemas.openxmlformats.org/officeDocument/2006/relationships/hyperlink" Target="https://arsaecoe.mtc.gob.pe/vial/VIAL_R_VIALES005456_20260216121931.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I_VIALES005265_20260126113140.pdf" TargetMode="External"/><Relationship Id="rId191" Type="http://schemas.openxmlformats.org/officeDocument/2006/relationships/hyperlink" Target="https://arsaecoe.mtc.gob.pe/vial/VIAL_R_VIALES005333_20260131085945.pdf" TargetMode="External"/><Relationship Id="rId205" Type="http://schemas.openxmlformats.org/officeDocument/2006/relationships/hyperlink" Target="https://arsaecoe.mtc.gob.pe/vial/VIAL_R_VIALES005358_20260203111939.pdf" TargetMode="External"/><Relationship Id="rId247" Type="http://schemas.openxmlformats.org/officeDocument/2006/relationships/hyperlink" Target="https://arsaecoe.mtc.gob.pe/vial/VIAL_I_VIALES005409_20260210085740.pdf" TargetMode="External"/><Relationship Id="rId107" Type="http://schemas.openxmlformats.org/officeDocument/2006/relationships/hyperlink" Target="https://arsaecoe.mtc.gob.pe/vial/VIAL_I_VIALES005209_20260117064610.pdf" TargetMode="External"/><Relationship Id="rId289" Type="http://schemas.openxmlformats.org/officeDocument/2006/relationships/hyperlink" Target="https://arsaecoe.mtc.gob.pe/vial/VIAL_I_VIALES005443_20260213013500.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R_VIALES005287_20260128115536.pdf" TargetMode="External"/><Relationship Id="rId314" Type="http://schemas.openxmlformats.org/officeDocument/2006/relationships/hyperlink" Target="https://arsaecoe.mtc.gob.pe/vial/VIAL_I_VIALES005467_20260216104617.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R_VIALES005297_20260128064228.pdf" TargetMode="External"/><Relationship Id="rId216" Type="http://schemas.openxmlformats.org/officeDocument/2006/relationships/hyperlink" Target="https://arsaecoe.mtc.gob.pe/vial/VIAL_R_VIALES005367_20260203045818.pdf" TargetMode="External"/><Relationship Id="rId258" Type="http://schemas.openxmlformats.org/officeDocument/2006/relationships/hyperlink" Target="https://arsaecoe.mtc.gob.pe/vial/VIAL_I_VIALES005415_20260209024640.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325" Type="http://schemas.openxmlformats.org/officeDocument/2006/relationships/hyperlink" Target="https://arsaecoe.mtc.gob.pe/vial/VIAL_R_VIALES005468_20260217072942.pdf" TargetMode="External"/><Relationship Id="rId171" Type="http://schemas.openxmlformats.org/officeDocument/2006/relationships/hyperlink" Target="https://arsaecoe.mtc.gob.pe/vial/VIAL_R_VIALES005304_20260129110945.pdf" TargetMode="External"/><Relationship Id="rId227" Type="http://schemas.openxmlformats.org/officeDocument/2006/relationships/hyperlink" Target="https://arsaecoe.mtc.gob.pe/vial/VIAL_I_VIALES005382_20260205031220.pdf" TargetMode="External"/><Relationship Id="rId269" Type="http://schemas.openxmlformats.org/officeDocument/2006/relationships/hyperlink" Target="https://arsaecoe.mtc.gob.pe/vial/VIAL_R_VIALES005425_20260211103645.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R_VIALES005251_20260122091220.pdf" TargetMode="External"/><Relationship Id="rId280" Type="http://schemas.openxmlformats.org/officeDocument/2006/relationships/hyperlink" Target="https://arsaecoe.mtc.gob.pe/vial/VIAL_R_VIALES005431_20260212074431.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I_VIALES005275_20260127010415.pdf" TargetMode="External"/><Relationship Id="rId182" Type="http://schemas.openxmlformats.org/officeDocument/2006/relationships/hyperlink" Target="https://arsaecoe.mtc.gob.pe/vial/VIAL_R_VIALES005324_20260130035719.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R_VIALES005382_20260205122152.pdf" TargetMode="External"/><Relationship Id="rId291" Type="http://schemas.openxmlformats.org/officeDocument/2006/relationships/hyperlink" Target="https://arsaecoe.mtc.gob.pe/vial/VIAL_I_VIALES005444_20260213050328.pdf" TargetMode="External"/><Relationship Id="rId305" Type="http://schemas.openxmlformats.org/officeDocument/2006/relationships/hyperlink" Target="https://arsaecoe.mtc.gob.pe/vial/VIAL_R_VIALES005457_20260216034400.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R_VIALES005290_20260128035730.pdf" TargetMode="External"/><Relationship Id="rId193" Type="http://schemas.openxmlformats.org/officeDocument/2006/relationships/hyperlink" Target="https://arsaecoe.mtc.gob.pe/vial/VIAL_I_VIALES005330_20260208063310.pdf" TargetMode="External"/><Relationship Id="rId207" Type="http://schemas.openxmlformats.org/officeDocument/2006/relationships/hyperlink" Target="https://arsaecoe.mtc.gob.pe/vial/VIAL_R_VIALES005359_20260203114148.pdf" TargetMode="External"/><Relationship Id="rId249" Type="http://schemas.openxmlformats.org/officeDocument/2006/relationships/hyperlink" Target="https://arsaecoe.mtc.gob.pe/vial/VIAL_I_VIALES005410_20260210090352.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17_20260209064600.pdf" TargetMode="External"/><Relationship Id="rId316" Type="http://schemas.openxmlformats.org/officeDocument/2006/relationships/hyperlink" Target="https://arsaecoe.mtc.gob.pe/vial/VIAL_I_VIALES005468_20260217072942.pdf" TargetMode="External"/><Relationship Id="rId55" Type="http://schemas.openxmlformats.org/officeDocument/2006/relationships/hyperlink" Target="https://arsaecoe.mtc.gob.pe/vial/VIAL_I_VIALES005007_2025121112592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162" Type="http://schemas.openxmlformats.org/officeDocument/2006/relationships/hyperlink" Target="https://arsaecoe.mtc.gob.pe/vial/VIAL_R_VIALES005298_20260128095338.pdf" TargetMode="External"/><Relationship Id="rId218" Type="http://schemas.openxmlformats.org/officeDocument/2006/relationships/hyperlink" Target="https://arsaecoe.mtc.gob.pe/vial/VIAL_R_VIALES005370_20260204061525.pdf" TargetMode="External"/><Relationship Id="rId271" Type="http://schemas.openxmlformats.org/officeDocument/2006/relationships/hyperlink" Target="https://arsaecoe.mtc.gob.pe/vial/VIAL_R_VIALES005426_20260211110101.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37"/>
  <sheetViews>
    <sheetView showGridLines="0" tabSelected="1" zoomScale="68" zoomScaleNormal="68" workbookViewId="0">
      <selection activeCell="AA43" sqref="AA43"/>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125"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77.25" customHeight="1">
      <c r="A1" s="243" t="s">
        <v>115</v>
      </c>
      <c r="B1" s="244"/>
      <c r="C1" s="244"/>
      <c r="D1" s="244"/>
      <c r="E1" s="244"/>
      <c r="F1" s="244"/>
      <c r="H1" s="3"/>
      <c r="I1" s="3"/>
      <c r="J1" s="3"/>
      <c r="K1" s="3"/>
      <c r="L1" s="3"/>
    </row>
    <row r="2" spans="1:29" ht="27" customHeight="1">
      <c r="A2" s="245" t="s">
        <v>73</v>
      </c>
      <c r="B2" s="245"/>
      <c r="C2" s="245"/>
      <c r="D2" s="245"/>
      <c r="E2" s="245"/>
      <c r="F2" s="245"/>
      <c r="H2" s="3"/>
      <c r="I2" s="3"/>
      <c r="J2" s="3"/>
      <c r="K2" s="3"/>
      <c r="L2" s="3"/>
    </row>
    <row r="3" spans="1:29" ht="24" customHeight="1">
      <c r="B3" s="53" t="s">
        <v>14</v>
      </c>
      <c r="C3" s="52" t="s">
        <v>745</v>
      </c>
      <c r="D3" s="8" t="s">
        <v>106</v>
      </c>
      <c r="E3" s="68"/>
      <c r="F3" s="68"/>
      <c r="H3" s="3"/>
      <c r="I3" s="3"/>
      <c r="J3" s="3"/>
      <c r="K3" s="3"/>
      <c r="L3" s="3"/>
      <c r="R3" s="49" t="s">
        <v>37</v>
      </c>
      <c r="S3" s="49" t="s">
        <v>7</v>
      </c>
      <c r="T3" s="49" t="s">
        <v>38</v>
      </c>
      <c r="U3" s="58" t="s">
        <v>78</v>
      </c>
    </row>
    <row r="4" spans="1:29" ht="15.75" customHeight="1">
      <c r="A4" s="3"/>
      <c r="B4" s="3"/>
      <c r="C4" s="3"/>
      <c r="D4" s="3"/>
      <c r="E4" s="3"/>
      <c r="F4" s="246" t="s">
        <v>39</v>
      </c>
      <c r="G4" s="247"/>
      <c r="H4" s="247"/>
      <c r="I4" s="248"/>
      <c r="J4" s="3"/>
      <c r="K4" s="3"/>
      <c r="L4" s="3"/>
      <c r="R4" t="str">
        <f>TRIM(MID(TRIM(Transportes!D5),1,FIND(CHAR(10),TRIM(Transportes!D5),1)-1))</f>
        <v>Ayacucho</v>
      </c>
      <c r="S4" t="str">
        <f>TRIM(IF(Transportes!F5="TRÁNSITO INTERRUMPIDO","Interrumpido",IF(Transportes!F5="TRÁNSITO RESTRINGIDO","Restringido","Normal")))</f>
        <v>Interrumpido</v>
      </c>
      <c r="T4" t="str">
        <f>TRIM(IF(MID(TRIM(Transportes!H5),1,FIND("-",TRIM(Transportes!H5),1)-2)="Acción humana","H","F"))</f>
        <v>F</v>
      </c>
      <c r="U4" s="47">
        <f>Transportes!G5</f>
        <v>40</v>
      </c>
    </row>
    <row r="5" spans="1:29" ht="39" customHeight="1">
      <c r="D5" t="s">
        <v>0</v>
      </c>
      <c r="E5" s="3"/>
      <c r="F5" s="142" t="s">
        <v>40</v>
      </c>
      <c r="G5" s="69" t="s">
        <v>41</v>
      </c>
      <c r="H5" s="70" t="s">
        <v>42</v>
      </c>
      <c r="I5" s="71"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47">
        <f>Transportes!G6</f>
        <v>20</v>
      </c>
      <c r="AC5" s="84"/>
    </row>
    <row r="6" spans="1:29" ht="15.75" customHeight="1">
      <c r="E6" s="3"/>
      <c r="F6" s="215" t="s">
        <v>44</v>
      </c>
      <c r="G6" s="73">
        <f>G40+I40</f>
        <v>4</v>
      </c>
      <c r="H6" s="74">
        <f>+H40+J40</f>
        <v>163</v>
      </c>
      <c r="I6" s="75">
        <f>SUM(G6:H6)</f>
        <v>167</v>
      </c>
      <c r="R6" t="str">
        <f>TRIM(MID(TRIM(Transportes!D7),1,FIND(CHAR(10),TRIM(Transportes!D7),1)-1))</f>
        <v>Arequipa</v>
      </c>
      <c r="S6" t="str">
        <f>TRIM(IF(Transportes!F7="TRÁNSITO INTERRUMPIDO","Interrumpido",IF(Transportes!F7="TRÁNSITO RESTRINGIDO","Restringido","Normal")))</f>
        <v>Interrumpido</v>
      </c>
      <c r="T6" t="str">
        <f>TRIM(IF(MID(TRIM(Transportes!H7),1,FIND("-",TRIM(Transportes!H7),1)-2)="Acción humana","H","F"))</f>
        <v>F</v>
      </c>
      <c r="U6" s="47">
        <f>Transportes!G7</f>
        <v>200</v>
      </c>
      <c r="AC6" s="84"/>
    </row>
    <row r="7" spans="1:29" ht="15.75" customHeight="1">
      <c r="C7" s="30"/>
      <c r="E7" s="3"/>
      <c r="F7" s="72" t="s">
        <v>45</v>
      </c>
      <c r="G7" s="73">
        <v>1</v>
      </c>
      <c r="H7" s="74">
        <v>1</v>
      </c>
      <c r="I7" s="74">
        <f>SUM(G7:H7)</f>
        <v>2</v>
      </c>
      <c r="R7" t="str">
        <f>TRIM(MID(TRIM(Transportes!D8),1,FIND(CHAR(10),TRIM(Transportes!D8),1)-1))</f>
        <v>Lima</v>
      </c>
      <c r="S7" t="str">
        <f>TRIM(IF(Transportes!F8="TRÁNSITO INTERRUMPIDO","Interrumpido",IF(Transportes!F8="TRÁNSITO RESTRINGIDO","Restringido","Normal")))</f>
        <v>Interrumpido</v>
      </c>
      <c r="T7" t="str">
        <f>TRIM(IF(MID(TRIM(Transportes!H8),1,FIND("-",TRIM(Transportes!H8),1)-2)="Acción humana","H","F"))</f>
        <v>F</v>
      </c>
      <c r="U7" s="47" t="str">
        <f>Transportes!G8</f>
        <v>-</v>
      </c>
      <c r="AC7" s="84"/>
    </row>
    <row r="8" spans="1:29" ht="15.75" customHeight="1">
      <c r="E8" s="3"/>
      <c r="F8" s="72" t="s">
        <v>46</v>
      </c>
      <c r="G8" s="73">
        <v>0</v>
      </c>
      <c r="H8" s="74">
        <v>0</v>
      </c>
      <c r="I8" s="74">
        <f>SUM(G8:H8)</f>
        <v>0</v>
      </c>
      <c r="R8" t="str">
        <f>TRIM(MID(TRIM(Transportes!D9),1,FIND(CHAR(10),TRIM(Transportes!D9),1)-1))</f>
        <v>Ayacucho</v>
      </c>
      <c r="S8" t="str">
        <f>TRIM(IF(Transportes!F9="TRÁNSITO INTERRUMPIDO","Interrumpido",IF(Transportes!F9="TRÁNSITO RESTRINGIDO","Restringido","Normal")))</f>
        <v>Restringido</v>
      </c>
      <c r="T8" t="str">
        <f>TRIM(IF(MID(TRIM(Transportes!H9),1,FIND("-",TRIM(Transportes!H9),1)-2)="Acción humana","H","F"))</f>
        <v>F</v>
      </c>
      <c r="U8" s="47">
        <f>Transportes!G9</f>
        <v>0</v>
      </c>
      <c r="AC8" s="84"/>
    </row>
    <row r="9" spans="1:29" ht="15.75" customHeight="1">
      <c r="E9" s="3"/>
      <c r="F9" s="72" t="s">
        <v>47</v>
      </c>
      <c r="G9" s="73">
        <v>1</v>
      </c>
      <c r="H9" s="74">
        <v>0</v>
      </c>
      <c r="I9" s="74">
        <f>SUM(G9:H9)</f>
        <v>1</v>
      </c>
      <c r="Q9" s="3"/>
      <c r="R9" t="str">
        <f>TRIM(MID(TRIM(Transportes!D10),1,FIND(CHAR(10),TRIM(Transportes!D10),1)-1))</f>
        <v>Piura</v>
      </c>
      <c r="S9" t="str">
        <f>TRIM(IF(Transportes!F10="TRÁNSITO INTERRUMPIDO","Interrumpido",IF(Transportes!F10="TRÁNSITO RESTRINGIDO","Restringido","Normal")))</f>
        <v>Restringido</v>
      </c>
      <c r="T9" t="str">
        <f>TRIM(IF(MID(TRIM(Transportes!H10),1,FIND("-",TRIM(Transportes!H10),1)-2)="Acción humana","H","F"))</f>
        <v>F</v>
      </c>
      <c r="U9" s="47">
        <f>Transportes!G10</f>
        <v>100</v>
      </c>
      <c r="V9" s="3"/>
      <c r="W9" s="3"/>
      <c r="AC9" s="84"/>
    </row>
    <row r="10" spans="1:29" ht="15.75" customHeight="1">
      <c r="E10" s="3"/>
      <c r="F10" s="72" t="s">
        <v>48</v>
      </c>
      <c r="G10" s="73">
        <v>4</v>
      </c>
      <c r="H10" s="74">
        <v>0</v>
      </c>
      <c r="I10" s="74">
        <f>SUM(G10:H10)</f>
        <v>4</v>
      </c>
      <c r="Q10" s="3"/>
      <c r="R10" t="str">
        <f>TRIM(MID(TRIM(Transportes!D11),1,FIND(CHAR(10),TRIM(Transportes!D11),1)-1))</f>
        <v>Lima</v>
      </c>
      <c r="S10" t="str">
        <f>TRIM(IF(Transportes!F11="TRÁNSITO INTERRUMPIDO","Interrumpido",IF(Transportes!F11="TRÁNSITO RESTRINGIDO","Restringido","Normal")))</f>
        <v>Restringido</v>
      </c>
      <c r="T10" t="str">
        <f>TRIM(IF(MID(TRIM(Transportes!H11),1,FIND("-",TRIM(Transportes!H11),1)-2)="Acción humana","H","F"))</f>
        <v>F</v>
      </c>
      <c r="U10" s="47">
        <f>Transportes!G11</f>
        <v>25</v>
      </c>
      <c r="V10" s="3"/>
      <c r="W10" s="3"/>
      <c r="AC10" s="84"/>
    </row>
    <row r="11" spans="1:29" ht="15.75" customHeight="1">
      <c r="E11" s="3"/>
      <c r="F11" s="76" t="s">
        <v>43</v>
      </c>
      <c r="G11" s="77">
        <f>SUM(G6:G10)</f>
        <v>10</v>
      </c>
      <c r="H11" s="77">
        <f>SUM(H6:H10)</f>
        <v>164</v>
      </c>
      <c r="I11" s="78">
        <f>SUM(I6:I10)</f>
        <v>174</v>
      </c>
      <c r="Q11" s="3"/>
      <c r="R11" t="str">
        <f>TRIM(MID(TRIM(Transportes!D12),1,FIND(CHAR(10),TRIM(Transportes!D12),1)-1))</f>
        <v>Cusco</v>
      </c>
      <c r="S11" t="str">
        <f>TRIM(IF(Transportes!F12="TRÁNSITO INTERRUMPIDO","Interrumpido",IF(Transportes!F12="TRÁNSITO RESTRINGIDO","Restringido","Normal")))</f>
        <v>Restringido</v>
      </c>
      <c r="T11" t="str">
        <f>TRIM(IF(MID(TRIM(Transportes!H12),1,FIND("-",TRIM(Transportes!H12),1)-2)="Acción humana","H","F"))</f>
        <v>F</v>
      </c>
      <c r="U11" s="47">
        <f>Transportes!G12</f>
        <v>35</v>
      </c>
      <c r="V11" s="3"/>
      <c r="W11" s="3"/>
      <c r="AC11" s="84"/>
    </row>
    <row r="12" spans="1:29" ht="15.75" customHeight="1">
      <c r="E12" s="3"/>
      <c r="Q12" s="3"/>
      <c r="R12" t="str">
        <f>TRIM(MID(TRIM(Transportes!D13),1,FIND(CHAR(10),TRIM(Transportes!D13),1)-1))</f>
        <v>Ayacucho</v>
      </c>
      <c r="S12" t="str">
        <f>TRIM(IF(Transportes!F13="TRÁNSITO INTERRUMPIDO","Interrumpido",IF(Transportes!F13="TRÁNSITO RESTRINGIDO","Restringido","Normal")))</f>
        <v>Restringido</v>
      </c>
      <c r="T12" t="str">
        <f>TRIM(IF(MID(TRIM(Transportes!H13),1,FIND("-",TRIM(Transportes!H13),1)-2)="Acción humana","H","F"))</f>
        <v>F</v>
      </c>
      <c r="U12" s="47">
        <f>Transportes!G13</f>
        <v>0</v>
      </c>
      <c r="V12" s="3"/>
      <c r="W12" s="3"/>
      <c r="AC12" s="84"/>
    </row>
    <row r="13" spans="1:29" ht="15.75" customHeight="1">
      <c r="E13" s="3"/>
      <c r="F13" s="246" t="s">
        <v>72</v>
      </c>
      <c r="G13" s="247"/>
      <c r="H13" s="247"/>
      <c r="I13" s="247"/>
      <c r="J13" s="247"/>
      <c r="K13" s="248"/>
      <c r="M13" s="246" t="s">
        <v>79</v>
      </c>
      <c r="N13" s="247"/>
      <c r="O13" s="247"/>
      <c r="P13" s="248"/>
      <c r="Q13" s="3"/>
      <c r="R13" t="str">
        <f>TRIM(MID(TRIM(Transportes!D14),1,FIND(CHAR(10),TRIM(Transportes!D14),1)-1))</f>
        <v>Ayacucho</v>
      </c>
      <c r="S13" t="str">
        <f>TRIM(IF(Transportes!F14="TRÁNSITO INTERRUMPIDO","Interrumpido",IF(Transportes!F14="TRÁNSITO RESTRINGIDO","Restringido","Normal")))</f>
        <v>Restringido</v>
      </c>
      <c r="T13" t="str">
        <f>TRIM(IF(MID(TRIM(Transportes!H14),1,FIND("-",TRIM(Transportes!H14),1)-2)="Acción humana","H","F"))</f>
        <v>F</v>
      </c>
      <c r="U13" s="47">
        <f>Transportes!G14</f>
        <v>40</v>
      </c>
      <c r="V13" s="3"/>
      <c r="W13" s="3"/>
      <c r="AC13" s="84"/>
    </row>
    <row r="14" spans="1:29" ht="15.75" customHeight="1">
      <c r="E14" s="3"/>
      <c r="F14" s="249" t="s">
        <v>108</v>
      </c>
      <c r="G14" s="251" t="s">
        <v>49</v>
      </c>
      <c r="H14" s="252"/>
      <c r="I14" s="253" t="s">
        <v>50</v>
      </c>
      <c r="J14" s="254"/>
      <c r="K14" s="255" t="s">
        <v>43</v>
      </c>
      <c r="M14" s="256" t="s">
        <v>49</v>
      </c>
      <c r="N14" s="257"/>
      <c r="O14" s="258"/>
      <c r="P14" s="240" t="s">
        <v>43</v>
      </c>
      <c r="Q14" s="3"/>
      <c r="R14" t="str">
        <f>TRIM(MID(TRIM(Transportes!D15),1,FIND(CHAR(10),TRIM(Transportes!D15),1)-1))</f>
        <v>Amazonas</v>
      </c>
      <c r="S14" t="str">
        <f>TRIM(IF(Transportes!F15="TRÁNSITO INTERRUMPIDO","Interrumpido",IF(Transportes!F15="TRÁNSITO RESTRINGIDO","Restringido","Normal")))</f>
        <v>Restringido</v>
      </c>
      <c r="T14" t="str">
        <f>TRIM(IF(MID(TRIM(Transportes!H15),1,FIND("-",TRIM(Transportes!H15),1)-2)="Acción humana","H","F"))</f>
        <v>F</v>
      </c>
      <c r="U14" s="47">
        <f>Transportes!G15</f>
        <v>500</v>
      </c>
      <c r="V14" s="3"/>
      <c r="W14" s="3"/>
      <c r="AC14" s="84"/>
    </row>
    <row r="15" spans="1:29" ht="15.75" customHeight="1">
      <c r="E15" s="3"/>
      <c r="F15" s="250"/>
      <c r="G15" s="79" t="s">
        <v>51</v>
      </c>
      <c r="H15" s="80" t="s">
        <v>52</v>
      </c>
      <c r="I15" s="79" t="s">
        <v>51</v>
      </c>
      <c r="J15" s="80" t="s">
        <v>52</v>
      </c>
      <c r="K15" s="241"/>
      <c r="M15" s="29" t="s">
        <v>108</v>
      </c>
      <c r="N15" s="79" t="s">
        <v>51</v>
      </c>
      <c r="O15" s="80" t="s">
        <v>52</v>
      </c>
      <c r="P15" s="241"/>
      <c r="Q15" s="3"/>
      <c r="R15" t="str">
        <f>TRIM(MID(TRIM(Transportes!D16),1,FIND(CHAR(10),TRIM(Transportes!D16),1)-1))</f>
        <v>Amazonas</v>
      </c>
      <c r="S15" t="str">
        <f>TRIM(IF(Transportes!F16="TRÁNSITO INTERRUMPIDO","Interrumpido",IF(Transportes!F16="TRÁNSITO RESTRINGIDO","Restringido","Normal")))</f>
        <v>Restringido</v>
      </c>
      <c r="T15" t="str">
        <f>TRIM(IF(MID(TRIM(Transportes!H16),1,FIND("-",TRIM(Transportes!H16),1)-2)="Acción humana","H","F"))</f>
        <v>F</v>
      </c>
      <c r="U15" s="47">
        <f>Transportes!G16</f>
        <v>25</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11</v>
      </c>
      <c r="I16" s="74">
        <f>COUNTIFS(Eventos7[DPTO],"Amazonas",Eventos7[ESTADO],"Interrumpido",Eventos7[FENOMENO],"H")</f>
        <v>0</v>
      </c>
      <c r="J16" s="74">
        <f>COUNTIFS(Eventos7[DPTO],"Amazonas",Eventos7[ESTADO],"Restringido",Eventos7[FENOMENO],"H")</f>
        <v>1</v>
      </c>
      <c r="K16" s="74">
        <f>SUM(G16:J16)</f>
        <v>12</v>
      </c>
      <c r="M16" s="72" t="s">
        <v>53</v>
      </c>
      <c r="N16" s="81">
        <f>SUMIFS(Eventos7[METRAJE],Eventos7[DPTO],"Amazonas",Eventos7[ESTADO],"Interrumpido",Eventos7[FENOMENO],"F")</f>
        <v>0</v>
      </c>
      <c r="O16" s="81">
        <f>SUMIFS(Eventos7[METRAJE],Eventos7[DPTO],"Amazonas",Eventos7[ESTADO],"Restringido",Eventos7[FENOMENO],"F")</f>
        <v>880</v>
      </c>
      <c r="P16" s="81">
        <f t="shared" ref="P16:P39" si="0">SUM(N16:O16)</f>
        <v>880</v>
      </c>
      <c r="Q16" s="3"/>
      <c r="R16" t="str">
        <f>TRIM(MID(TRIM(Transportes!D17),1,FIND(CHAR(10),TRIM(Transportes!D17),1)-1))</f>
        <v>Piura</v>
      </c>
      <c r="S16" t="str">
        <f>TRIM(IF(Transportes!F17="TRÁNSITO INTERRUMPIDO","Interrumpido",IF(Transportes!F17="TRÁNSITO RESTRINGIDO","Restringido","Normal")))</f>
        <v>Restringido</v>
      </c>
      <c r="T16" t="str">
        <f>TRIM(IF(MID(TRIM(Transportes!H17),1,FIND("-",TRIM(Transportes!H17),1)-2)="Acción humana","H","F"))</f>
        <v>F</v>
      </c>
      <c r="U16" s="47">
        <f>Transportes!G17</f>
        <v>20</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6</v>
      </c>
      <c r="I17" s="74">
        <f>COUNTIFS(Eventos7[DPTO],"Áncash",Eventos7[ESTADO],"Interrumpido",Eventos7[FENOMENO],"H")</f>
        <v>0</v>
      </c>
      <c r="J17" s="74">
        <f>COUNTIFS(Eventos7[DPTO],"Áncash",Eventos7[ESTADO],"Restringido",Eventos7[FENOMENO],"H")</f>
        <v>0</v>
      </c>
      <c r="K17" s="74">
        <f t="shared" ref="K17:K39" si="1">SUM(G17:J17)</f>
        <v>6</v>
      </c>
      <c r="M17" s="131" t="s">
        <v>54</v>
      </c>
      <c r="N17" s="81">
        <f>SUMIFS(Eventos7[METRAJE],Eventos7[DPTO],"Áncash",Eventos7[ESTADO],"Interrumpido",Eventos7[FENOMENO],"F")</f>
        <v>0</v>
      </c>
      <c r="O17" s="81">
        <f>SUMIFS(Eventos7[METRAJE],Eventos7[DPTO],"Áncash",Eventos7[ESTADO],"Restringido",Eventos7[FENOMENO],"F")</f>
        <v>597</v>
      </c>
      <c r="P17" s="81">
        <f>SUM(N17:O17)</f>
        <v>597</v>
      </c>
      <c r="Q17" s="3"/>
      <c r="R17" t="str">
        <f>TRIM(MID(TRIM(Transportes!D18),1,FIND(CHAR(10),TRIM(Transportes!D18),1)-1))</f>
        <v>Cajamarca</v>
      </c>
      <c r="S17" t="str">
        <f>TRIM(IF(Transportes!F18="TRÁNSITO INTERRUMPIDO","Interrumpido",IF(Transportes!F18="TRÁNSITO RESTRINGIDO","Restringido","Normal")))</f>
        <v>Restringido</v>
      </c>
      <c r="T17" t="str">
        <f>TRIM(IF(MID(TRIM(Transportes!H18),1,FIND("-",TRIM(Transportes!H18),1)-2)="Acción humana","H","F"))</f>
        <v>F</v>
      </c>
      <c r="U17" s="47">
        <f>Transportes!G18</f>
        <v>50</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Ayacucho</v>
      </c>
      <c r="S18" t="str">
        <f>TRIM(IF(Transportes!F19="TRÁNSITO INTERRUMPIDO","Interrumpido",IF(Transportes!F19="TRÁNSITO RESTRINGIDO","Restringido","Normal")))</f>
        <v>Restringido</v>
      </c>
      <c r="T18" t="str">
        <f>TRIM(IF(MID(TRIM(Transportes!H19),1,FIND("-",TRIM(Transportes!H19),1)-2)="Acción humana","H","F"))</f>
        <v>F</v>
      </c>
      <c r="U18" s="47" t="str">
        <f>Transportes!G19</f>
        <v>-</v>
      </c>
      <c r="V18" s="3"/>
      <c r="W18" s="3"/>
      <c r="AC18" s="84"/>
    </row>
    <row r="19" spans="5:29" ht="15.75" customHeight="1">
      <c r="E19" s="3"/>
      <c r="F19" s="85" t="s">
        <v>34</v>
      </c>
      <c r="G19" s="74">
        <f>COUNTIFS(Eventos7[DPTO],"Arequipa",Eventos7[ESTADO],"Interrumpido",Eventos7[FENOMENO],"F")</f>
        <v>1</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4</v>
      </c>
      <c r="M19" s="132" t="s">
        <v>34</v>
      </c>
      <c r="N19" s="81">
        <f>SUMIFS(Eventos7[METRAJE],Eventos7[DPTO],"Arequipa",Eventos7[ESTADO],"Interrumpido",Eventos7[FENOMENO],"F")</f>
        <v>200</v>
      </c>
      <c r="O19" s="81">
        <f>SUMIFS(Eventos7[METRAJE],Eventos7[DPTO],"Arequipa",Eventos7[ESTADO],"Restringido",Eventos7[FENOMENO],"F")</f>
        <v>0</v>
      </c>
      <c r="P19" s="81">
        <f t="shared" si="0"/>
        <v>200</v>
      </c>
      <c r="Q19" s="3"/>
      <c r="R19" t="str">
        <f>TRIM(MID(TRIM(Transportes!D20),1,FIND(CHAR(10),TRIM(Transportes!D20),1)-1))</f>
        <v>Cajamarca</v>
      </c>
      <c r="S19" t="str">
        <f>TRIM(IF(Transportes!F20="TRÁNSITO INTERRUMPIDO","Interrumpido",IF(Transportes!F20="TRÁNSITO RESTRINGIDO","Restringido","Normal")))</f>
        <v>Restringido</v>
      </c>
      <c r="T19" t="str">
        <f>TRIM(IF(MID(TRIM(Transportes!H20),1,FIND("-",TRIM(Transportes!H20),1)-2)="Acción humana","H","F"))</f>
        <v>F</v>
      </c>
      <c r="U19" s="47">
        <f>Transportes!G20</f>
        <v>15</v>
      </c>
      <c r="V19" s="3"/>
      <c r="W19" s="3"/>
      <c r="AC19" s="84"/>
    </row>
    <row r="20" spans="5:29" ht="15.75" customHeight="1">
      <c r="E20" s="3"/>
      <c r="F20" s="72" t="s">
        <v>56</v>
      </c>
      <c r="G20" s="74">
        <f>COUNTIFS(Eventos7[DPTO],"Ayacucho",Eventos7[ESTADO],"Interrumpido",Eventos7[FENOMENO],"F")</f>
        <v>2</v>
      </c>
      <c r="H20" s="74">
        <f>COUNTIFS(Eventos7[DPTO],"Ayacucho",Eventos7[ESTADO],"Restringido",Eventos7[FENOMENO],"F")</f>
        <v>8</v>
      </c>
      <c r="I20" s="74">
        <f>COUNTIFS(Eventos7[DPTO],"Ayacucho",Eventos7[ESTADO],"Interrumpido",Eventos7[FENOMENO],"H")</f>
        <v>0</v>
      </c>
      <c r="J20" s="74">
        <f>COUNTIFS(Eventos7[DPTO],"Ayacucho",Eventos7[ESTADO],"Restringido",Eventos7[FENOMENO],"H")</f>
        <v>0</v>
      </c>
      <c r="K20" s="74">
        <f t="shared" si="1"/>
        <v>10</v>
      </c>
      <c r="M20" s="72" t="s">
        <v>56</v>
      </c>
      <c r="N20" s="81">
        <f>SUMIFS(Eventos7[METRAJE],Eventos7[DPTO],"Ayacucho",Eventos7[ESTADO],"Interrumpido",Eventos7[FENOMENO],"F")</f>
        <v>60</v>
      </c>
      <c r="O20" s="81">
        <f>SUMIFS(Eventos7[METRAJE],Eventos7[DPTO],"Ayacucho",Eventos7[ESTADO],"Restringido",Eventos7[FENOMENO],"F")</f>
        <v>230</v>
      </c>
      <c r="P20" s="81">
        <f t="shared" si="0"/>
        <v>290</v>
      </c>
      <c r="Q20" s="3"/>
      <c r="R20" t="str">
        <f>TRIM(MID(TRIM(Transportes!D21),1,FIND(CHAR(10),TRIM(Transportes!D21),1)-1))</f>
        <v>Piura</v>
      </c>
      <c r="S20" t="str">
        <f>TRIM(IF(Transportes!F21="TRÁNSITO INTERRUMPIDO","Interrumpido",IF(Transportes!F21="TRÁNSITO RESTRINGIDO","Restringido","Normal")))</f>
        <v>Restringido</v>
      </c>
      <c r="T20" t="str">
        <f>TRIM(IF(MID(TRIM(Transportes!H21),1,FIND("-",TRIM(Transportes!H21),1)-2)="Acción humana","H","F"))</f>
        <v>F</v>
      </c>
      <c r="U20" s="47" t="str">
        <f>Transportes!G21</f>
        <v>-</v>
      </c>
      <c r="V20" s="3"/>
      <c r="W20" s="3"/>
      <c r="AC20" s="84"/>
    </row>
    <row r="21" spans="5:29" ht="15.75" customHeight="1">
      <c r="E21" s="3"/>
      <c r="F21" s="72" t="s">
        <v>57</v>
      </c>
      <c r="G21" s="74">
        <f>COUNTIFS(Eventos7[DPTO],"Cajamarca",Eventos7[ESTADO],"Interrumpido",Eventos7[FENOMENO],"F")</f>
        <v>0</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17</v>
      </c>
      <c r="M21" s="72" t="s">
        <v>57</v>
      </c>
      <c r="N21" s="81">
        <f>SUMIFS(Eventos7[METRAJE],Eventos7[DPTO],"Cajamarca",Eventos7[ESTADO],"Interrumpido",Eventos7[FENOMENO],"F")</f>
        <v>0</v>
      </c>
      <c r="O21" s="81">
        <f>SUMIFS(Eventos7[METRAJE],Eventos7[DPTO],"Cajamarca",Eventos7[ESTADO],"Restringido",Eventos7[FENOMENO],"F")</f>
        <v>490</v>
      </c>
      <c r="P21" s="81">
        <f t="shared" si="0"/>
        <v>490</v>
      </c>
      <c r="Q21" s="3"/>
      <c r="R21" t="str">
        <f>TRIM(MID(TRIM(Transportes!D22),1,FIND(CHAR(10),TRIM(Transportes!D22),1)-1))</f>
        <v>Ica</v>
      </c>
      <c r="S21" t="str">
        <f>TRIM(IF(Transportes!F22="TRÁNSITO INTERRUMPIDO","Interrumpido",IF(Transportes!F22="TRÁNSITO RESTRINGIDO","Restringido","Normal")))</f>
        <v>Restringido</v>
      </c>
      <c r="T21" t="str">
        <f>TRIM(IF(MID(TRIM(Transportes!H22),1,FIND("-",TRIM(Transportes!H22),1)-2)="Acción humana","H","F"))</f>
        <v>F</v>
      </c>
      <c r="U21" s="47">
        <f>Transportes!G22</f>
        <v>10</v>
      </c>
      <c r="V21" s="3"/>
      <c r="W21" s="3"/>
      <c r="AC21" s="84"/>
    </row>
    <row r="22" spans="5:29" ht="15.75" customHeight="1">
      <c r="F22" s="72" t="s">
        <v>58</v>
      </c>
      <c r="G22" s="74">
        <f>COUNTIFS(Eventos7[DPTO],"Cusco",Eventos7[ESTADO],"Interrumpido",Eventos7[FENOMENO],"F")</f>
        <v>0</v>
      </c>
      <c r="H22" s="74">
        <f>COUNTIFS(Eventos7[DPTO],"Cusco",Eventos7[ESTADO],"Restringido",Eventos7[FENOMENO],"F")</f>
        <v>10</v>
      </c>
      <c r="I22" s="74">
        <f>COUNTIFS(Eventos7[DPTO],"Cusco",Eventos7[ESTADO],"Interrumpido",Eventos7[FENOMENO],"H")</f>
        <v>0</v>
      </c>
      <c r="J22" s="74">
        <f>COUNTIFS(Eventos7[DPTO],"Cusco",Eventos7[ESTADO],"Restringido",Eventos7[FENOMENO],"H")</f>
        <v>0</v>
      </c>
      <c r="K22" s="74">
        <f t="shared" si="1"/>
        <v>10</v>
      </c>
      <c r="M22" s="72" t="s">
        <v>58</v>
      </c>
      <c r="N22" s="81">
        <f>SUMIFS(Eventos7[METRAJE],Eventos7[DPTO],"Cusco",Eventos7[ESTADO],"Interrumpido",Eventos7[FENOMENO],"F")</f>
        <v>0</v>
      </c>
      <c r="O22" s="81">
        <f>SUMIFS(Eventos7[METRAJE],Eventos7[DPTO],"Cusco",Eventos7[ESTADO],"Restringido",Eventos7[FENOMENO],"F")</f>
        <v>1235</v>
      </c>
      <c r="P22" s="81">
        <f t="shared" si="0"/>
        <v>1235</v>
      </c>
      <c r="Q22" s="3"/>
      <c r="R22" t="str">
        <f>TRIM(MID(TRIM(Transportes!D23),1,FIND(CHAR(10),TRIM(Transportes!D23),1)-1))</f>
        <v>Puno</v>
      </c>
      <c r="S22" t="str">
        <f>TRIM(IF(Transportes!F23="TRÁNSITO INTERRUMPIDO","Interrumpido",IF(Transportes!F23="TRÁNSITO RESTRINGIDO","Restringido","Normal")))</f>
        <v>Restringido</v>
      </c>
      <c r="T22" t="str">
        <f>TRIM(IF(MID(TRIM(Transportes!H23),1,FIND("-",TRIM(Transportes!H23),1)-2)="Acción humana","H","F"))</f>
        <v>F</v>
      </c>
      <c r="U22" s="47" t="str">
        <f>Transportes!G23</f>
        <v>-</v>
      </c>
      <c r="V22" s="3"/>
      <c r="AC22" s="84"/>
    </row>
    <row r="23" spans="5:29" ht="15.75" customHeight="1">
      <c r="F23" s="72" t="s">
        <v>59</v>
      </c>
      <c r="G23" s="74">
        <f>COUNTIFS(Eventos7[DPTO],"Huancavelica",Eventos7[ESTADO],"Interrumpido",Eventos7[FENOMENO],"F")</f>
        <v>0</v>
      </c>
      <c r="H23" s="74">
        <f>COUNTIFS(Eventos7[DPTO],"Huancavelica",Eventos7[ESTADO],"Restringido",Eventos7[FENOMENO],"F")</f>
        <v>1</v>
      </c>
      <c r="I23" s="74">
        <f>COUNTIFS(Eventos7[DPTO],"Huancavelica",Eventos7[ESTADO],"Interrumpido",Eventos7[FENOMENO],"H")</f>
        <v>0</v>
      </c>
      <c r="J23" s="74">
        <f>COUNTIFS(Eventos7[DPTO],"Huancavelica",Eventos7[ESTADO],"Restringido",Eventos7[FENOMENO],"H")</f>
        <v>0</v>
      </c>
      <c r="K23" s="74">
        <f t="shared" si="1"/>
        <v>1</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Apurímac</v>
      </c>
      <c r="S23" t="str">
        <f>TRIM(IF(Transportes!F24="TRÁNSITO INTERRUMPIDO","Interrumpido",IF(Transportes!F24="TRÁNSITO RESTRINGIDO","Restringido","Normal")))</f>
        <v>Restringido</v>
      </c>
      <c r="T23" t="str">
        <f>TRIM(IF(MID(TRIM(Transportes!H24),1,FIND("-",TRIM(Transportes!H24),1)-2)="Acción humana","H","F"))</f>
        <v>F</v>
      </c>
      <c r="U23" s="47">
        <f>Transportes!G24</f>
        <v>25</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Áncash</v>
      </c>
      <c r="S24" t="str">
        <f>TRIM(IF(Transportes!F25="TRÁNSITO INTERRUMPIDO","Interrumpido",IF(Transportes!F25="TRÁNSITO RESTRINGIDO","Restringido","Normal")))</f>
        <v>Restringido</v>
      </c>
      <c r="T24" t="str">
        <f>TRIM(IF(MID(TRIM(Transportes!H25),1,FIND("-",TRIM(Transportes!H25),1)-2)="Acción humana","H","F"))</f>
        <v>F</v>
      </c>
      <c r="U24" s="47">
        <f>Transportes!G25</f>
        <v>10</v>
      </c>
      <c r="V24" s="3"/>
      <c r="AC24" s="84"/>
    </row>
    <row r="25" spans="5:29" ht="15.75" customHeight="1">
      <c r="F25" s="72" t="s">
        <v>33</v>
      </c>
      <c r="G25" s="74">
        <f>COUNTIFS(Eventos7[DPTO],"Ica",Eventos7[ESTADO],"Interrumpido",Eventos7[FENOMENO],"F")</f>
        <v>0</v>
      </c>
      <c r="H25" s="74">
        <f>COUNTIFS(Eventos7[DPTO],"Ica",Eventos7[ESTADO],"Restringido",Eventos7[FENOMENO],"F")</f>
        <v>2</v>
      </c>
      <c r="I25" s="74">
        <f>COUNTIFS(Eventos7[DPTO],"Ica",Eventos7[ESTADO],"Interrumpido",Eventos7[FENOMENO],"H")</f>
        <v>0</v>
      </c>
      <c r="J25" s="74">
        <f>COUNTIFS(Eventos7[DPTO],"Ica",Eventos7[ESTADO],"Restringido",Eventos7[FENOMENO],"H")</f>
        <v>0</v>
      </c>
      <c r="K25" s="74">
        <f t="shared" si="1"/>
        <v>2</v>
      </c>
      <c r="M25" s="72" t="s">
        <v>33</v>
      </c>
      <c r="N25" s="81">
        <f>SUMIFS(Eventos7[METRAJE],Eventos7[DPTO],"Ica",Eventos7[ESTADO],"Interrumpido",Eventos7[FENOMENO],"F")</f>
        <v>0</v>
      </c>
      <c r="O25" s="81">
        <f>SUMIFS(Eventos7[METRAJE],Eventos7[DPTO],"Ica",Eventos7[ESTADO],"Restringido",Eventos7[FENOMENO],"F")</f>
        <v>10</v>
      </c>
      <c r="P25" s="81">
        <f t="shared" si="0"/>
        <v>10</v>
      </c>
      <c r="Q25" s="3"/>
      <c r="R25" t="str">
        <f>TRIM(MID(TRIM(Transportes!D26),1,FIND(CHAR(10),TRIM(Transportes!D26),1)-1))</f>
        <v>Cajamarca</v>
      </c>
      <c r="S25" t="str">
        <f>TRIM(IF(Transportes!F26="TRÁNSITO INTERRUMPIDO","Interrumpido",IF(Transportes!F26="TRÁNSITO RESTRINGIDO","Restringido","Normal")))</f>
        <v>Restringido</v>
      </c>
      <c r="T25" t="str">
        <f>TRIM(IF(MID(TRIM(Transportes!H26),1,FIND("-",TRIM(Transportes!H26),1)-2)="Acción humana","H","F"))</f>
        <v>F</v>
      </c>
      <c r="U25" s="47">
        <f>Transportes!G26</f>
        <v>25</v>
      </c>
      <c r="V25" s="3"/>
      <c r="AC25" s="84"/>
    </row>
    <row r="26" spans="5:29" ht="15.75" customHeight="1">
      <c r="F26" s="72" t="s">
        <v>61</v>
      </c>
      <c r="G26" s="74">
        <f>COUNTIFS(Eventos7[DPTO],"Junín",Eventos7[ESTADO],"Interrumpido",Eventos7[FENOMENO],"F")</f>
        <v>0</v>
      </c>
      <c r="H26" s="74">
        <f>COUNTIFS(Eventos7[DPTO],"Junín",Eventos7[ESTADO],"Restringido",Eventos7[FENOMENO],"F")</f>
        <v>17</v>
      </c>
      <c r="I26" s="74">
        <f>COUNTIFS(Eventos7[DPTO],"Junín",Eventos7[ESTADO],"Interrumpido",Eventos7[FENOMENO],"H")</f>
        <v>0</v>
      </c>
      <c r="J26" s="74">
        <f>COUNTIFS(Eventos7[DPTO],"Junín",Eventos7[ESTADO],"Restringido",Eventos7[FENOMENO],"H")</f>
        <v>0</v>
      </c>
      <c r="K26" s="74">
        <f>SUM(G26:J26)</f>
        <v>17</v>
      </c>
      <c r="M26" s="72" t="s">
        <v>61</v>
      </c>
      <c r="N26" s="81">
        <f>SUMIFS(Eventos7[METRAJE],Eventos7[DPTO],"Junín",Eventos7[ESTADO],"Interrumpido",Eventos7[FENOMENO],"F")</f>
        <v>0</v>
      </c>
      <c r="O26" s="81">
        <f>SUMIFS(Eventos7[METRAJE],Eventos7[DPTO],"Junín",Eventos7[ESTADO],"Restringido",Eventos7[FENOMENO],"F")</f>
        <v>491</v>
      </c>
      <c r="P26" s="81">
        <f t="shared" si="0"/>
        <v>491</v>
      </c>
      <c r="Q26" s="3"/>
      <c r="R26" t="str">
        <f>TRIM(MID(TRIM(Transportes!D27),1,FIND(CHAR(10),TRIM(Transportes!D27),1)-1))</f>
        <v>Cajamarca</v>
      </c>
      <c r="S26" t="str">
        <f>TRIM(IF(Transportes!F27="TRÁNSITO INTERRUMPIDO","Interrumpido",IF(Transportes!F27="TRÁNSITO RESTRINGIDO","Restringido","Normal")))</f>
        <v>Restringido</v>
      </c>
      <c r="T26" t="str">
        <f>TRIM(IF(MID(TRIM(Transportes!H27),1,FIND("-",TRIM(Transportes!H27),1)-2)="Acción humana","H","F"))</f>
        <v>F</v>
      </c>
      <c r="U26" s="47">
        <f>Transportes!G27</f>
        <v>40</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Cajamarca</v>
      </c>
      <c r="S27" t="str">
        <f>TRIM(IF(Transportes!F28="TRÁNSITO INTERRUMPIDO","Interrumpido",IF(Transportes!F28="TRÁNSITO RESTRINGIDO","Restringido","Normal")))</f>
        <v>Restringido</v>
      </c>
      <c r="T27" t="str">
        <f>TRIM(IF(MID(TRIM(Transportes!H28),1,FIND("-",TRIM(Transportes!H28),1)-2)="Acción humana","H","F"))</f>
        <v>F</v>
      </c>
      <c r="U27" s="47">
        <f>Transportes!G28</f>
        <v>20</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Cajamarca</v>
      </c>
      <c r="S28" t="str">
        <f>TRIM(IF(Transportes!F29="TRÁNSITO INTERRUMPIDO","Interrumpido",IF(Transportes!F29="TRÁNSITO RESTRINGIDO","Restringido","Normal")))</f>
        <v>Restringido</v>
      </c>
      <c r="T28" t="str">
        <f>TRIM(IF(MID(TRIM(Transportes!H29),1,FIND("-",TRIM(Transportes!H29),1)-2)="Acción humana","H","F"))</f>
        <v>F</v>
      </c>
      <c r="U28" s="47" t="str">
        <f>Transportes!G29</f>
        <v>-</v>
      </c>
      <c r="V28" s="3"/>
      <c r="AC28" s="84"/>
    </row>
    <row r="29" spans="5:29" ht="15.75" customHeight="1">
      <c r="F29" s="72" t="s">
        <v>63</v>
      </c>
      <c r="G29" s="74">
        <f>COUNTIFS(Eventos7[DPTO],"Lima",Eventos7[ESTADO],"Interrumpido",Eventos7[FENOMENO],"F")</f>
        <v>1</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5</v>
      </c>
      <c r="M29" s="72" t="s">
        <v>63</v>
      </c>
      <c r="N29" s="81">
        <f>SUMIFS(Eventos7[METRAJE],Eventos7[DPTO],"Lima",Eventos7[ESTADO],"Interrumpido",Eventos7[FENOMENO],"F")</f>
        <v>0</v>
      </c>
      <c r="O29" s="81">
        <f>SUMIFS(Eventos7[METRAJE],Eventos7[DPTO],"Lima",Eventos7[ESTADO],"Restringido",Eventos7[FENOMENO],"F")</f>
        <v>225</v>
      </c>
      <c r="P29" s="81">
        <f t="shared" si="0"/>
        <v>225</v>
      </c>
      <c r="Q29" s="3"/>
      <c r="R29" t="str">
        <f>TRIM(MID(TRIM(Transportes!D30),1,FIND(CHAR(10),TRIM(Transportes!D30),1)-1))</f>
        <v>Cajamarca</v>
      </c>
      <c r="S29" t="str">
        <f>TRIM(IF(Transportes!F30="TRÁNSITO INTERRUMPIDO","Interrumpido",IF(Transportes!F30="TRÁNSITO RESTRINGIDO","Restringido","Normal")))</f>
        <v>Restringido</v>
      </c>
      <c r="T29" t="str">
        <f>TRIM(IF(MID(TRIM(Transportes!H30),1,FIND("-",TRIM(Transportes!H30),1)-2)="Acción humana","H","F"))</f>
        <v>F</v>
      </c>
      <c r="U29" s="47">
        <f>Transportes!G30</f>
        <v>60</v>
      </c>
      <c r="V29" s="3"/>
      <c r="AC29" s="84"/>
    </row>
    <row r="30" spans="5:29" ht="15.75" customHeight="1">
      <c r="F30" s="72" t="s">
        <v>64</v>
      </c>
      <c r="G30" s="74">
        <f>COUNTIFS(Eventos7[DPTO],"Loreto",Eventos7[ESTADO],"Interrumpido",Eventos7[FENOMENO],"F")</f>
        <v>0</v>
      </c>
      <c r="H30" s="74">
        <f>COUNTIFS(Eventos7[DPTO],"Loreto",Eventos7[ESTADO],"Restringido",Eventos7[FENOMENO],"F")</f>
        <v>0</v>
      </c>
      <c r="I30" s="74">
        <f>COUNTIFS(Eventos7[DPTO],"Loreto",Eventos7[ESTADO],"Interrumpido",Eventos7[FENOMENO],"H")</f>
        <v>0</v>
      </c>
      <c r="J30" s="74">
        <f>COUNTIFS(Eventos7[DPTO],"Loreto",Eventos7[ESTADO],"Restringido",Eventos7[FENOMENO],"H")</f>
        <v>1</v>
      </c>
      <c r="K30" s="74">
        <f t="shared" si="1"/>
        <v>1</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Moquegua</v>
      </c>
      <c r="S30" t="str">
        <f>TRIM(IF(Transportes!F31="TRÁNSITO INTERRUMPIDO","Interrumpido",IF(Transportes!F31="TRÁNSITO RESTRINGIDO","Restringido","Normal")))</f>
        <v>Restringido</v>
      </c>
      <c r="T30" t="str">
        <f>TRIM(IF(MID(TRIM(Transportes!H31),1,FIND("-",TRIM(Transportes!H31),1)-2)="Acción humana","H","F"))</f>
        <v>F</v>
      </c>
      <c r="U30" s="47" t="str">
        <f>Transportes!G31</f>
        <v>-</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Junín</v>
      </c>
      <c r="S31" t="str">
        <f>TRIM(IF(Transportes!F32="TRÁNSITO INTERRUMPIDO","Interrumpido",IF(Transportes!F32="TRÁNSITO RESTRINGIDO","Restringido","Normal")))</f>
        <v>Restringido</v>
      </c>
      <c r="T31" t="str">
        <f>TRIM(IF(MID(TRIM(Transportes!H32),1,FIND("-",TRIM(Transportes!H32),1)-2)="Acción humana","H","F"))</f>
        <v>F</v>
      </c>
      <c r="U31" s="47" t="str">
        <f>Transportes!G32</f>
        <v>-</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Áncash</v>
      </c>
      <c r="S32" t="str">
        <f>TRIM(IF(Transportes!F33="TRÁNSITO INTERRUMPIDO","Interrumpido",IF(Transportes!F33="TRÁNSITO RESTRINGIDO","Restringido","Normal")))</f>
        <v>Restringido</v>
      </c>
      <c r="T32" t="str">
        <f>TRIM(IF(MID(TRIM(Transportes!H33),1,FIND("-",TRIM(Transportes!H33),1)-2)="Acción humana","H","F"))</f>
        <v>F</v>
      </c>
      <c r="U32" s="47">
        <f>Transportes!G33</f>
        <v>52</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Apurímac</v>
      </c>
      <c r="S33" t="str">
        <f>TRIM(IF(Transportes!F34="TRÁNSITO INTERRUMPIDO","Interrumpido",IF(Transportes!F34="TRÁNSITO RESTRINGIDO","Restringido","Normal")))</f>
        <v>Restringido</v>
      </c>
      <c r="T33" t="str">
        <f>TRIM(IF(MID(TRIM(Transportes!H34),1,FIND("-",TRIM(Transportes!H34),1)-2)="Acción humana","H","F"))</f>
        <v>F</v>
      </c>
      <c r="U33" s="47" t="str">
        <f>Transportes!G34</f>
        <v>-</v>
      </c>
      <c r="V33" s="3"/>
      <c r="AC33" s="84"/>
    </row>
    <row r="34" spans="4:30" ht="15.75" customHeight="1">
      <c r="F34" s="72" t="s">
        <v>32</v>
      </c>
      <c r="G34" s="74">
        <f>COUNTIFS(Eventos7[DPTO],"Piura",Eventos7[ESTADO],"Interrumpido",Eventos7[FENOMENO],"F")</f>
        <v>0</v>
      </c>
      <c r="H34" s="74">
        <f>COUNTIFS(Eventos7[DPTO],"Piura",Eventos7[ESTADO],"Restringido",Eventos7[FENOMENO],"F")</f>
        <v>17</v>
      </c>
      <c r="I34" s="74">
        <f>COUNTIFS(Eventos7[DPTO],"Piura",Eventos7[ESTADO],"Interrumpido",Eventos7[FENOMENO],"H")</f>
        <v>0</v>
      </c>
      <c r="J34" s="74">
        <f>COUNTIFS(Eventos7[DPTO],"Piura",Eventos7[ESTADO],"Restringido",Eventos7[FENOMENO],"H")</f>
        <v>2</v>
      </c>
      <c r="K34" s="74">
        <f t="shared" si="1"/>
        <v>19</v>
      </c>
      <c r="M34" s="72" t="s">
        <v>32</v>
      </c>
      <c r="N34" s="81">
        <f>SUMIFS(Eventos7[METRAJE],Eventos7[DPTO],"Piura",Eventos7[ESTADO],"Interrumpido",Eventos7[FENOMENO],"F")</f>
        <v>0</v>
      </c>
      <c r="O34" s="81">
        <f>SUMIFS(Eventos7[METRAJE],Eventos7[DPTO],"Piura",Eventos7[ESTADO],"Restringido",Eventos7[FENOMENO],"F")</f>
        <v>1440</v>
      </c>
      <c r="P34" s="81">
        <f t="shared" si="0"/>
        <v>1440</v>
      </c>
      <c r="Q34" s="3"/>
      <c r="R34" t="str">
        <f>TRIM(MID(TRIM(Transportes!D35),1,FIND(CHAR(10),TRIM(Transportes!D35),1)-1))</f>
        <v>Ayacucho</v>
      </c>
      <c r="S34" t="str">
        <f>TRIM(IF(Transportes!F35="TRÁNSITO INTERRUMPIDO","Interrumpido",IF(Transportes!F35="TRÁNSITO RESTRINGIDO","Restringido","Normal")))</f>
        <v>Restringido</v>
      </c>
      <c r="T34" t="str">
        <f>TRIM(IF(MID(TRIM(Transportes!H35),1,FIND("-",TRIM(Transportes!H35),1)-2)="Acción humana","H","F"))</f>
        <v>F</v>
      </c>
      <c r="U34" s="47">
        <f>Transportes!G35</f>
        <v>20</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La Libertad</v>
      </c>
      <c r="S35" t="str">
        <f>TRIM(IF(Transportes!F36="TRÁNSITO INTERRUMPIDO","Interrumpido",IF(Transportes!F36="TRÁNSITO RESTRINGIDO","Restringido","Normal")))</f>
        <v>Restringido</v>
      </c>
      <c r="T35" t="str">
        <f>TRIM(IF(MID(TRIM(Transportes!H36),1,FIND("-",TRIM(Transportes!H36),1)-2)="Acción humana","H","F"))</f>
        <v>F</v>
      </c>
      <c r="U35" s="47">
        <f>Transportes!G36</f>
        <v>100</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Amazonas</v>
      </c>
      <c r="S36" t="str">
        <f>TRIM(IF(Transportes!F37="TRÁNSITO INTERRUMPIDO","Interrumpido",IF(Transportes!F37="TRÁNSITO RESTRINGIDO","Restringido","Normal")))</f>
        <v>Restringido</v>
      </c>
      <c r="T36" t="str">
        <f>TRIM(IF(MID(TRIM(Transportes!H37),1,FIND("-",TRIM(Transportes!H37),1)-2)="Acción humana","H","F"))</f>
        <v>F</v>
      </c>
      <c r="U36" s="47" t="str">
        <f>Transportes!G37</f>
        <v>-</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Áncash</v>
      </c>
      <c r="S37" t="str">
        <f>TRIM(IF(Transportes!F38="TRÁNSITO INTERRUMPIDO","Interrumpido",IF(Transportes!F38="TRÁNSITO RESTRINGIDO","Restringido","Normal")))</f>
        <v>Restringido</v>
      </c>
      <c r="T37" t="str">
        <f>TRIM(IF(MID(TRIM(Transportes!H38),1,FIND("-",TRIM(Transportes!H38),1)-2)="Acción humana","H","F"))</f>
        <v>F</v>
      </c>
      <c r="U37" s="47">
        <f>Transportes!G38</f>
        <v>165</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La Libertad</v>
      </c>
      <c r="S38" t="str">
        <f>TRIM(IF(Transportes!F39="TRÁNSITO INTERRUMPIDO","Interrumpido",IF(Transportes!F39="TRÁNSITO RESTRINGIDO","Restringido","Normal")))</f>
        <v>Restringido</v>
      </c>
      <c r="T38" t="str">
        <f>TRIM(IF(MID(TRIM(Transportes!H39),1,FIND("-",TRIM(Transportes!H39),1)-2)="Acción humana","H","F"))</f>
        <v>F</v>
      </c>
      <c r="U38" s="47">
        <f>Transportes!G39</f>
        <v>20</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Ayacucho</v>
      </c>
      <c r="S39" t="str">
        <f>TRIM(IF(Transportes!F40="TRÁNSITO INTERRUMPIDO","Interrumpido",IF(Transportes!F40="TRÁNSITO RESTRINGIDO","Restringido","Normal")))</f>
        <v>Restringido</v>
      </c>
      <c r="T39" t="str">
        <f>TRIM(IF(MID(TRIM(Transportes!H40),1,FIND("-",TRIM(Transportes!H40),1)-2)="Acción humana","H","F"))</f>
        <v>F</v>
      </c>
      <c r="U39" s="47" t="str">
        <f>Transportes!G40</f>
        <v>-</v>
      </c>
      <c r="V39" s="3"/>
    </row>
    <row r="40" spans="4:30" ht="15.75" customHeight="1">
      <c r="F40" s="76" t="s">
        <v>43</v>
      </c>
      <c r="G40" s="77">
        <f>SUM(G16:G39)</f>
        <v>4</v>
      </c>
      <c r="H40" s="77">
        <f>SUM(H16:H39)</f>
        <v>156</v>
      </c>
      <c r="I40" s="77">
        <f>SUM(I16:I39)</f>
        <v>0</v>
      </c>
      <c r="J40" s="77">
        <f>SUM(J16:J39)</f>
        <v>7</v>
      </c>
      <c r="K40" s="75">
        <f>SUM(K16:K39)</f>
        <v>167</v>
      </c>
      <c r="M40" s="76" t="s">
        <v>43</v>
      </c>
      <c r="N40" s="82">
        <f>SUM(N16:N39)</f>
        <v>260</v>
      </c>
      <c r="O40" s="82">
        <f>SUM(O16:O39)</f>
        <v>11461</v>
      </c>
      <c r="P40" s="83">
        <f>SUM(P16:P39)</f>
        <v>11721</v>
      </c>
      <c r="Q40" s="3"/>
      <c r="R40" t="str">
        <f>TRIM(MID(TRIM(Transportes!D41),1,FIND(CHAR(10),TRIM(Transportes!D41),1)-1))</f>
        <v>Huancavelica</v>
      </c>
      <c r="S40" t="str">
        <f>TRIM(IF(Transportes!F41="TRÁNSITO INTERRUMPIDO","Interrumpido",IF(Transportes!F41="TRÁNSITO RESTRINGIDO","Restringido","Normal")))</f>
        <v>Restringido</v>
      </c>
      <c r="T40" t="str">
        <f>TRIM(IF(MID(TRIM(Transportes!H41),1,FIND("-",TRIM(Transportes!H41),1)-2)="Acción humana","H","F"))</f>
        <v>F</v>
      </c>
      <c r="U40" s="47" t="str">
        <f>Transportes!G41</f>
        <v>-</v>
      </c>
      <c r="V40" s="3"/>
    </row>
    <row r="41" spans="4:30" ht="15.75" customHeight="1">
      <c r="Q41" s="3"/>
      <c r="R41" t="str">
        <f>TRIM(MID(TRIM(Transportes!D42),1,FIND(CHAR(10),TRIM(Transportes!D42),1)-1))</f>
        <v>Madre de Dios</v>
      </c>
      <c r="S41" t="str">
        <f>TRIM(IF(Transportes!F42="TRÁNSITO INTERRUMPIDO","Interrumpido",IF(Transportes!F42="TRÁNSITO RESTRINGIDO","Restringido","Normal")))</f>
        <v>Restringido</v>
      </c>
      <c r="T41" t="str">
        <f>TRIM(IF(MID(TRIM(Transportes!H42),1,FIND("-",TRIM(Transportes!H42),1)-2)="Acción humana","H","F"))</f>
        <v>F</v>
      </c>
      <c r="U41" s="47">
        <f>Transportes!G42</f>
        <v>30</v>
      </c>
      <c r="V41" s="3"/>
    </row>
    <row r="42" spans="4:30" ht="15.75" customHeight="1">
      <c r="D42" t="s">
        <v>0</v>
      </c>
      <c r="M42" s="242" t="s">
        <v>83</v>
      </c>
      <c r="N42" s="242"/>
      <c r="O42" s="242"/>
      <c r="P42" s="242"/>
      <c r="Q42" s="3"/>
      <c r="R42" t="str">
        <f>TRIM(MID(TRIM(Transportes!D43),1,FIND(CHAR(10),TRIM(Transportes!D43),1)-1))</f>
        <v>Huánuco</v>
      </c>
      <c r="S42" t="str">
        <f>TRIM(IF(Transportes!F43="TRÁNSITO INTERRUMPIDO","Interrumpido",IF(Transportes!F43="TRÁNSITO RESTRINGIDO","Restringido","Normal")))</f>
        <v>Restringido</v>
      </c>
      <c r="T42" t="str">
        <f>TRIM(IF(MID(TRIM(Transportes!H43),1,FIND("-",TRIM(Transportes!H43),1)-2)="Acción humana","H","F"))</f>
        <v>F</v>
      </c>
      <c r="U42" s="47" t="str">
        <f>Transportes!G43</f>
        <v>-</v>
      </c>
      <c r="V42" s="3"/>
      <c r="AD42" t="s">
        <v>0</v>
      </c>
    </row>
    <row r="43" spans="4:30" ht="15.75" customHeight="1">
      <c r="M43" s="143" t="s">
        <v>80</v>
      </c>
      <c r="N43" s="143" t="s">
        <v>81</v>
      </c>
      <c r="O43" s="143" t="s">
        <v>82</v>
      </c>
      <c r="P43" s="143" t="s">
        <v>14</v>
      </c>
      <c r="Q43" s="3"/>
      <c r="R43" t="str">
        <f>TRIM(MID(TRIM(Transportes!D44),1,FIND(CHAR(10),TRIM(Transportes!D44),1)-1))</f>
        <v>Junín</v>
      </c>
      <c r="S43" t="str">
        <f>TRIM(IF(Transportes!F44="TRÁNSITO INTERRUMPIDO","Interrumpido",IF(Transportes!F44="TRÁNSITO RESTRINGIDO","Restringido","Normal")))</f>
        <v>Restringido</v>
      </c>
      <c r="T43" t="str">
        <f>TRIM(IF(MID(TRIM(Transportes!H44),1,FIND("-",TRIM(Transportes!H44),1)-2)="Acción humana","H","F"))</f>
        <v>F</v>
      </c>
      <c r="U43" s="47">
        <f>Transportes!G44</f>
        <v>20</v>
      </c>
      <c r="V43" s="3"/>
    </row>
    <row r="44" spans="4:30" ht="15.75" customHeight="1">
      <c r="M44" s="219" t="s">
        <v>658</v>
      </c>
      <c r="N44" s="219" t="s">
        <v>900</v>
      </c>
      <c r="O44" s="220" t="s">
        <v>116</v>
      </c>
      <c r="P44" s="147" t="s">
        <v>659</v>
      </c>
      <c r="Q44" s="3"/>
      <c r="R44" t="str">
        <f>TRIM(MID(TRIM(Transportes!D45),1,FIND(CHAR(10),TRIM(Transportes!D45),1)-1))</f>
        <v>Piura</v>
      </c>
      <c r="S44" t="str">
        <f>TRIM(IF(Transportes!F45="TRÁNSITO INTERRUMPIDO","Interrumpido",IF(Transportes!F45="TRÁNSITO RESTRINGIDO","Restringido","Normal")))</f>
        <v>Restringido</v>
      </c>
      <c r="T44" t="str">
        <f>TRIM(IF(MID(TRIM(Transportes!H45),1,FIND("-",TRIM(Transportes!H45),1)-2)="Acción humana","H","F"))</f>
        <v>F</v>
      </c>
      <c r="U44" s="47">
        <f>Transportes!G45</f>
        <v>10</v>
      </c>
      <c r="V44" s="3"/>
    </row>
    <row r="45" spans="4:30" ht="15.75" customHeight="1">
      <c r="M45" s="148" t="s">
        <v>71</v>
      </c>
      <c r="N45" s="148" t="s">
        <v>85</v>
      </c>
      <c r="O45" s="147" t="s">
        <v>84</v>
      </c>
      <c r="P45" s="147" t="s">
        <v>570</v>
      </c>
      <c r="Q45" s="3"/>
      <c r="R45" t="str">
        <f>TRIM(MID(TRIM(Transportes!D46),1,FIND(CHAR(10),TRIM(Transportes!D46),1)-1))</f>
        <v>Áncash</v>
      </c>
      <c r="S45" t="str">
        <f>TRIM(IF(Transportes!F46="TRÁNSITO INTERRUMPIDO","Interrumpido",IF(Transportes!F46="TRÁNSITO RESTRINGIDO","Restringido","Normal")))</f>
        <v>Restringido</v>
      </c>
      <c r="T45" t="str">
        <f>TRIM(IF(MID(TRIM(Transportes!H46),1,FIND("-",TRIM(Transportes!H46),1)-2)="Acción humana","H","F"))</f>
        <v>F</v>
      </c>
      <c r="U45" s="47">
        <f>Transportes!G46</f>
        <v>50</v>
      </c>
      <c r="V45" s="3"/>
    </row>
    <row r="46" spans="4:30" ht="15.75" customHeight="1">
      <c r="M46" s="148" t="s">
        <v>71</v>
      </c>
      <c r="N46" s="148" t="s">
        <v>110</v>
      </c>
      <c r="O46" s="147" t="s">
        <v>84</v>
      </c>
      <c r="P46" s="147" t="s">
        <v>570</v>
      </c>
      <c r="Q46" s="3"/>
      <c r="R46" t="str">
        <f>TRIM(MID(TRIM(Transportes!D47),1,FIND(CHAR(10),TRIM(Transportes!D47),1)-1))</f>
        <v>Áncash</v>
      </c>
      <c r="S46" t="str">
        <f>TRIM(IF(Transportes!F47="TRÁNSITO INTERRUMPIDO","Interrumpido",IF(Transportes!F47="TRÁNSITO RESTRINGIDO","Restringido","Normal")))</f>
        <v>Restringido</v>
      </c>
      <c r="T46" t="str">
        <f>TRIM(IF(MID(TRIM(Transportes!H47),1,FIND("-",TRIM(Transportes!H47),1)-2)="Acción humana","H","F"))</f>
        <v>F</v>
      </c>
      <c r="U46" s="47">
        <f>Transportes!G47</f>
        <v>300</v>
      </c>
      <c r="V46" s="3"/>
    </row>
    <row r="47" spans="4:30" ht="15.75" customHeight="1">
      <c r="M47" s="148" t="s">
        <v>71</v>
      </c>
      <c r="N47" s="148" t="s">
        <v>86</v>
      </c>
      <c r="O47" s="147" t="s">
        <v>84</v>
      </c>
      <c r="P47" s="147" t="s">
        <v>572</v>
      </c>
      <c r="Q47" s="3"/>
      <c r="R47" t="str">
        <f>TRIM(MID(TRIM(Transportes!D48),1,FIND(CHAR(10),TRIM(Transportes!D48),1)-1))</f>
        <v>Cajamarca</v>
      </c>
      <c r="S47" t="str">
        <f>TRIM(IF(Transportes!F48="TRÁNSITO INTERRUMPIDO","Interrumpido",IF(Transportes!F48="TRÁNSITO RESTRINGIDO","Restringido","Normal")))</f>
        <v>Restringido</v>
      </c>
      <c r="T47" t="str">
        <f>TRIM(IF(MID(TRIM(Transportes!H48),1,FIND("-",TRIM(Transportes!H48),1)-2)="Acción humana","H","F"))</f>
        <v>F</v>
      </c>
      <c r="U47" s="47">
        <f>Transportes!G48</f>
        <v>35</v>
      </c>
      <c r="V47" s="3"/>
    </row>
    <row r="48" spans="4:30" ht="15.75" customHeight="1">
      <c r="M48" s="153" t="s">
        <v>242</v>
      </c>
      <c r="N48" s="153" t="s">
        <v>529</v>
      </c>
      <c r="O48" s="147" t="s">
        <v>84</v>
      </c>
      <c r="P48" s="147" t="s">
        <v>528</v>
      </c>
      <c r="Q48" s="3"/>
      <c r="R48" t="str">
        <f>TRIM(MID(TRIM(Transportes!D49),1,FIND(CHAR(10),TRIM(Transportes!D49),1)-1))</f>
        <v>Piura</v>
      </c>
      <c r="S48" t="str">
        <f>TRIM(IF(Transportes!F49="TRÁNSITO INTERRUMPIDO","Interrumpido",IF(Transportes!F49="TRÁNSITO RESTRINGIDO","Restringido","Normal")))</f>
        <v>Restringido</v>
      </c>
      <c r="T48" t="str">
        <f>TRIM(IF(MID(TRIM(Transportes!H49),1,FIND("-",TRIM(Transportes!H49),1)-2)="Acción humana","H","F"))</f>
        <v>F</v>
      </c>
      <c r="U48" s="47" t="str">
        <f>Transportes!G49</f>
        <v>-</v>
      </c>
      <c r="V48" s="3"/>
    </row>
    <row r="49" spans="7:22" ht="15.75" customHeight="1">
      <c r="M49" s="153" t="s">
        <v>57</v>
      </c>
      <c r="N49" s="153" t="s">
        <v>480</v>
      </c>
      <c r="O49" s="147" t="s">
        <v>84</v>
      </c>
      <c r="P49" s="147" t="s">
        <v>518</v>
      </c>
      <c r="Q49" s="3"/>
      <c r="R49" t="str">
        <f>TRIM(MID(TRIM(Transportes!D50),1,FIND(CHAR(10),TRIM(Transportes!D50),1)-1))</f>
        <v>Piura</v>
      </c>
      <c r="S49" t="str">
        <f>TRIM(IF(Transportes!F50="TRÁNSITO INTERRUMPIDO","Interrumpido",IF(Transportes!F50="TRÁNSITO RESTRINGIDO","Restringido","Normal")))</f>
        <v>Restringido</v>
      </c>
      <c r="T49" t="str">
        <f>TRIM(IF(MID(TRIM(Transportes!H50),1,FIND("-",TRIM(Transportes!H50),1)-2)="Acción humana","H","F"))</f>
        <v>F</v>
      </c>
      <c r="U49" s="47" t="str">
        <f>Transportes!G50</f>
        <v>-</v>
      </c>
      <c r="V49" s="3"/>
    </row>
    <row r="50" spans="7:22" ht="15.75" customHeight="1">
      <c r="M50" s="153" t="s">
        <v>138</v>
      </c>
      <c r="N50" s="153" t="s">
        <v>374</v>
      </c>
      <c r="O50" s="147" t="s">
        <v>376</v>
      </c>
      <c r="P50" s="147" t="s">
        <v>375</v>
      </c>
      <c r="Q50" s="3"/>
      <c r="R50" t="str">
        <f>TRIM(MID(TRIM(Transportes!D51),1,FIND(CHAR(10),TRIM(Transportes!D51),1)-1))</f>
        <v>Lima</v>
      </c>
      <c r="S50" t="str">
        <f>TRIM(IF(Transportes!F51="TRÁNSITO INTERRUMPIDO","Interrumpido",IF(Transportes!F51="TRÁNSITO RESTRINGIDO","Restringido","Normal")))</f>
        <v>Restringido</v>
      </c>
      <c r="T50" t="str">
        <f>TRIM(IF(MID(TRIM(Transportes!H51),1,FIND("-",TRIM(Transportes!H51),1)-2)="Acción humana","H","F"))</f>
        <v>F</v>
      </c>
      <c r="U50" s="47" t="str">
        <f>Transportes!G51</f>
        <v>-</v>
      </c>
      <c r="V50" s="3"/>
    </row>
    <row r="51" spans="7:22" ht="15.75" customHeight="1">
      <c r="M51" s="148" t="s">
        <v>138</v>
      </c>
      <c r="N51" s="153" t="s">
        <v>329</v>
      </c>
      <c r="O51" s="147" t="s">
        <v>331</v>
      </c>
      <c r="P51" s="147" t="s">
        <v>330</v>
      </c>
      <c r="Q51" s="3"/>
      <c r="R51" t="str">
        <f>TRIM(MID(TRIM(Transportes!D52),1,FIND(CHAR(10),TRIM(Transportes!D52),1)-1))</f>
        <v>Ucayali</v>
      </c>
      <c r="S51" t="str">
        <f>TRIM(IF(Transportes!F52="TRÁNSITO INTERRUMPIDO","Interrumpido",IF(Transportes!F52="TRÁNSITO RESTRINGIDO","Restringido","Normal")))</f>
        <v>Restringido</v>
      </c>
      <c r="T51" t="str">
        <f>TRIM(IF(MID(TRIM(Transportes!H52),1,FIND("-",TRIM(Transportes!H52),1)-2)="Acción humana","H","F"))</f>
        <v>F</v>
      </c>
      <c r="U51" s="47">
        <f>Transportes!G52</f>
        <v>81</v>
      </c>
      <c r="V51" s="3"/>
    </row>
    <row r="52" spans="7:22" ht="15.75" customHeight="1">
      <c r="M52" s="148" t="s">
        <v>58</v>
      </c>
      <c r="N52" s="153" t="s">
        <v>310</v>
      </c>
      <c r="O52" s="147" t="s">
        <v>308</v>
      </c>
      <c r="P52" s="147" t="s">
        <v>309</v>
      </c>
      <c r="Q52" s="3"/>
      <c r="R52" t="str">
        <f>TRIM(MID(TRIM(Transportes!D53),1,FIND(CHAR(10),TRIM(Transportes!D53),1)-1))</f>
        <v>Ucayali</v>
      </c>
      <c r="S52" t="str">
        <f>TRIM(IF(Transportes!F53="TRÁNSITO INTERRUMPIDO","Interrumpido",IF(Transportes!F53="TRÁNSITO RESTRINGIDO","Restringido","Normal")))</f>
        <v>Restringido</v>
      </c>
      <c r="T52" t="str">
        <f>TRIM(IF(MID(TRIM(Transportes!H53),1,FIND("-",TRIM(Transportes!H53),1)-2)="Acción humana","H","F"))</f>
        <v>F</v>
      </c>
      <c r="U52" s="47">
        <f>Transportes!G53</f>
        <v>283</v>
      </c>
      <c r="V52" s="3"/>
    </row>
    <row r="53" spans="7:22" ht="15.75" customHeight="1">
      <c r="M53" s="148" t="s">
        <v>58</v>
      </c>
      <c r="N53" s="153" t="s">
        <v>311</v>
      </c>
      <c r="O53" s="147" t="s">
        <v>308</v>
      </c>
      <c r="P53" s="147" t="s">
        <v>309</v>
      </c>
      <c r="Q53" s="3"/>
      <c r="R53" t="str">
        <f>TRIM(MID(TRIM(Transportes!D54),1,FIND(CHAR(10),TRIM(Transportes!D54),1)-1))</f>
        <v>Junín</v>
      </c>
      <c r="S53" t="str">
        <f>TRIM(IF(Transportes!F54="TRÁNSITO INTERRUMPIDO","Interrumpido",IF(Transportes!F54="TRÁNSITO RESTRINGIDO","Restringido","Normal")))</f>
        <v>Restringido</v>
      </c>
      <c r="T53" t="str">
        <f>TRIM(IF(MID(TRIM(Transportes!H54),1,FIND("-",TRIM(Transportes!H54),1)-2)="Acción humana","H","F"))</f>
        <v>F</v>
      </c>
      <c r="U53" s="47" t="str">
        <f>Transportes!G54</f>
        <v>-</v>
      </c>
      <c r="V53" s="3"/>
    </row>
    <row r="54" spans="7:22" ht="15.75" customHeight="1">
      <c r="G54"/>
      <c r="M54" s="148" t="s">
        <v>58</v>
      </c>
      <c r="N54" s="153" t="s">
        <v>312</v>
      </c>
      <c r="O54" s="147" t="s">
        <v>308</v>
      </c>
      <c r="P54" s="147" t="s">
        <v>309</v>
      </c>
      <c r="R54" t="str">
        <f>TRIM(MID(TRIM(Transportes!D55),1,FIND(CHAR(10),TRIM(Transportes!D55),1)-1))</f>
        <v>Junín</v>
      </c>
      <c r="S54" t="str">
        <f>TRIM(IF(Transportes!F55="TRÁNSITO INTERRUMPIDO","Interrumpido",IF(Transportes!F55="TRÁNSITO RESTRINGIDO","Restringido","Normal")))</f>
        <v>Restringido</v>
      </c>
      <c r="T54" t="str">
        <f>TRIM(IF(MID(TRIM(Transportes!H55),1,FIND("-",TRIM(Transportes!H55),1)-2)="Acción humana","H","F"))</f>
        <v>F</v>
      </c>
      <c r="U54" s="47" t="str">
        <f>Transportes!G55</f>
        <v>-</v>
      </c>
    </row>
    <row r="55" spans="7:22" ht="15.75" customHeight="1">
      <c r="G55"/>
      <c r="M55" s="148" t="s">
        <v>58</v>
      </c>
      <c r="N55" s="153" t="s">
        <v>313</v>
      </c>
      <c r="O55" s="147" t="s">
        <v>308</v>
      </c>
      <c r="P55" s="147" t="s">
        <v>309</v>
      </c>
      <c r="R55" t="str">
        <f>TRIM(MID(TRIM(Transportes!D56),1,FIND(CHAR(10),TRIM(Transportes!D56),1)-1))</f>
        <v>Ucayali</v>
      </c>
      <c r="S55" t="str">
        <f>TRIM(IF(Transportes!F56="TRÁNSITO INTERRUMPIDO","Interrumpido",IF(Transportes!F56="TRÁNSITO RESTRINGIDO","Restringido","Normal")))</f>
        <v>Restringido</v>
      </c>
      <c r="T55" t="str">
        <f>TRIM(IF(MID(TRIM(Transportes!H56),1,FIND("-",TRIM(Transportes!H56),1)-2)="Acción humana","H","F"))</f>
        <v>F</v>
      </c>
      <c r="U55" s="47">
        <f>Transportes!G56</f>
        <v>141</v>
      </c>
    </row>
    <row r="56" spans="7:22" ht="15.75" customHeight="1">
      <c r="G56"/>
      <c r="M56" s="149" t="s">
        <v>242</v>
      </c>
      <c r="N56" s="149" t="s">
        <v>272</v>
      </c>
      <c r="O56" s="147" t="s">
        <v>273</v>
      </c>
      <c r="P56" s="147" t="s">
        <v>274</v>
      </c>
      <c r="R56" t="str">
        <f>TRIM(MID(TRIM(Transportes!D57),1,FIND(CHAR(10),TRIM(Transportes!D57),1)-1))</f>
        <v>Cajamarca</v>
      </c>
      <c r="S56" t="str">
        <f>TRIM(IF(Transportes!F57="TRÁNSITO INTERRUMPIDO","Interrumpido",IF(Transportes!F57="TRÁNSITO RESTRINGIDO","Restringido","Normal")))</f>
        <v>Restringido</v>
      </c>
      <c r="T56" t="str">
        <f>TRIM(IF(MID(TRIM(Transportes!H57),1,FIND("-",TRIM(Transportes!H57),1)-2)="Acción humana","H","F"))</f>
        <v>F</v>
      </c>
      <c r="U56" s="47">
        <f>Transportes!G57</f>
        <v>50</v>
      </c>
    </row>
    <row r="57" spans="7:22" ht="15.75" customHeight="1">
      <c r="G57"/>
      <c r="M57" s="149" t="s">
        <v>242</v>
      </c>
      <c r="N57" s="149" t="s">
        <v>261</v>
      </c>
      <c r="O57" s="147" t="s">
        <v>243</v>
      </c>
      <c r="P57" s="147" t="s">
        <v>249</v>
      </c>
      <c r="R57" t="str">
        <f>TRIM(MID(TRIM(Transportes!D58),1,FIND(CHAR(10),TRIM(Transportes!D58),1)-1))</f>
        <v>Puno</v>
      </c>
      <c r="S57" t="str">
        <f>TRIM(IF(Transportes!F58="TRÁNSITO INTERRUMPIDO","Interrumpido",IF(Transportes!F58="TRÁNSITO RESTRINGIDO","Restringido","Normal")))</f>
        <v>Restringido</v>
      </c>
      <c r="T57" t="str">
        <f>TRIM(IF(MID(TRIM(Transportes!H58),1,FIND("-",TRIM(Transportes!H58),1)-2)="Acción humana","H","F"))</f>
        <v>F</v>
      </c>
      <c r="U57" s="47" t="str">
        <f>Transportes!G58</f>
        <v>-</v>
      </c>
    </row>
    <row r="58" spans="7:22" ht="15.75" customHeight="1">
      <c r="G58"/>
      <c r="M58" s="149" t="s">
        <v>242</v>
      </c>
      <c r="N58" s="149" t="s">
        <v>262</v>
      </c>
      <c r="O58" s="147" t="s">
        <v>243</v>
      </c>
      <c r="P58" s="147" t="s">
        <v>249</v>
      </c>
      <c r="R58" t="str">
        <f>TRIM(MID(TRIM(Transportes!D59),1,FIND(CHAR(10),TRIM(Transportes!D59),1)-1))</f>
        <v>Pasco</v>
      </c>
      <c r="S58" t="str">
        <f>TRIM(IF(Transportes!F59="TRÁNSITO INTERRUMPIDO","Interrumpido",IF(Transportes!F59="TRÁNSITO RESTRINGIDO","Restringido","Normal")))</f>
        <v>Restringido</v>
      </c>
      <c r="T58" t="str">
        <f>TRIM(IF(MID(TRIM(Transportes!H59),1,FIND("-",TRIM(Transportes!H59),1)-2)="Acción humana","H","F"))</f>
        <v>F</v>
      </c>
      <c r="U58" s="47">
        <f>Transportes!G59</f>
        <v>20</v>
      </c>
    </row>
    <row r="59" spans="7:22" ht="15.75" customHeight="1">
      <c r="G59"/>
      <c r="M59" s="149" t="s">
        <v>242</v>
      </c>
      <c r="N59" s="149" t="s">
        <v>263</v>
      </c>
      <c r="O59" s="147" t="s">
        <v>243</v>
      </c>
      <c r="P59" s="147" t="s">
        <v>249</v>
      </c>
      <c r="R59" t="str">
        <f>TRIM(MID(TRIM(Transportes!D60),1,FIND(CHAR(10),TRIM(Transportes!D60),1)-1))</f>
        <v>Cajamarca</v>
      </c>
      <c r="S59" t="str">
        <f>TRIM(IF(Transportes!F60="TRÁNSITO INTERRUMPIDO","Interrumpido",IF(Transportes!F60="TRÁNSITO RESTRINGIDO","Restringido","Normal")))</f>
        <v>Restringido</v>
      </c>
      <c r="T59" t="str">
        <f>TRIM(IF(MID(TRIM(Transportes!H60),1,FIND("-",TRIM(Transportes!H60),1)-2)="Acción humana","H","F"))</f>
        <v>F</v>
      </c>
      <c r="U59" s="47" t="str">
        <f>Transportes!G60</f>
        <v>-</v>
      </c>
    </row>
    <row r="60" spans="7:22" ht="15.75" customHeight="1">
      <c r="G60"/>
      <c r="M60" s="149" t="s">
        <v>242</v>
      </c>
      <c r="N60" s="149" t="s">
        <v>264</v>
      </c>
      <c r="O60" s="147" t="s">
        <v>243</v>
      </c>
      <c r="P60" s="147" t="s">
        <v>249</v>
      </c>
      <c r="R60" t="str">
        <f>TRIM(MID(TRIM(Transportes!D61),1,FIND(CHAR(10),TRIM(Transportes!D61),1)-1))</f>
        <v>Puno</v>
      </c>
      <c r="S60" t="str">
        <f>TRIM(IF(Transportes!F61="TRÁNSITO INTERRUMPIDO","Interrumpido",IF(Transportes!F61="TRÁNSITO RESTRINGIDO","Restringido","Normal")))</f>
        <v>Restringido</v>
      </c>
      <c r="T60" t="str">
        <f>TRIM(IF(MID(TRIM(Transportes!H61),1,FIND("-",TRIM(Transportes!H61),1)-2)="Acción humana","H","F"))</f>
        <v>F</v>
      </c>
      <c r="U60" s="47">
        <f>Transportes!G61</f>
        <v>580</v>
      </c>
    </row>
    <row r="61" spans="7:22" ht="15.75" customHeight="1">
      <c r="G61"/>
      <c r="M61" s="149" t="s">
        <v>242</v>
      </c>
      <c r="N61" s="149" t="s">
        <v>265</v>
      </c>
      <c r="O61" s="147" t="s">
        <v>243</v>
      </c>
      <c r="P61" s="147" t="s">
        <v>249</v>
      </c>
      <c r="R61" t="str">
        <f>TRIM(MID(TRIM(Transportes!D62),1,FIND(CHAR(10),TRIM(Transportes!D62),1)-1))</f>
        <v>Huánuco</v>
      </c>
      <c r="S61" t="str">
        <f>TRIM(IF(Transportes!F62="TRÁNSITO INTERRUMPIDO","Interrumpido",IF(Transportes!F62="TRÁNSITO RESTRINGIDO","Restringido","Normal")))</f>
        <v>Restringido</v>
      </c>
      <c r="T61" t="str">
        <f>TRIM(IF(MID(TRIM(Transportes!H62),1,FIND("-",TRIM(Transportes!H62),1)-2)="Acción humana","H","F"))</f>
        <v>F</v>
      </c>
      <c r="U61" s="47">
        <f>Transportes!G62</f>
        <v>100</v>
      </c>
    </row>
    <row r="62" spans="7:22" ht="15.75" customHeight="1">
      <c r="G62"/>
      <c r="M62" s="149" t="s">
        <v>67</v>
      </c>
      <c r="N62" s="149" t="s">
        <v>228</v>
      </c>
      <c r="O62" s="147" t="s">
        <v>227</v>
      </c>
      <c r="P62" s="147" t="s">
        <v>253</v>
      </c>
      <c r="R62" t="str">
        <f>TRIM(MID(TRIM(Transportes!D63),1,FIND(CHAR(10),TRIM(Transportes!D63),1)-1))</f>
        <v>Ayacucho</v>
      </c>
      <c r="S62" t="str">
        <f>TRIM(IF(Transportes!F63="TRÁNSITO INTERRUMPIDO","Interrumpido",IF(Transportes!F63="TRÁNSITO RESTRINGIDO","Restringido","Normal")))</f>
        <v>Restringido</v>
      </c>
      <c r="T62" t="str">
        <f>TRIM(IF(MID(TRIM(Transportes!H63),1,FIND("-",TRIM(Transportes!H63),1)-2)="Acción humana","H","F"))</f>
        <v>F</v>
      </c>
      <c r="U62" s="47">
        <f>Transportes!G63</f>
        <v>50</v>
      </c>
    </row>
    <row r="63" spans="7:22" ht="15.75" customHeight="1">
      <c r="G63"/>
      <c r="M63" s="148" t="s">
        <v>32</v>
      </c>
      <c r="N63" s="148" t="s">
        <v>216</v>
      </c>
      <c r="O63" s="147" t="s">
        <v>116</v>
      </c>
      <c r="P63" s="147" t="s">
        <v>217</v>
      </c>
      <c r="R63" t="str">
        <f>TRIM(MID(TRIM(Transportes!D64),1,FIND(CHAR(10),TRIM(Transportes!D64),1)-1))</f>
        <v>Amazonas</v>
      </c>
      <c r="S63" t="str">
        <f>TRIM(IF(Transportes!F64="TRÁNSITO INTERRUMPIDO","Interrumpido",IF(Transportes!F64="TRÁNSITO RESTRINGIDO","Restringido","Normal")))</f>
        <v>Restringido</v>
      </c>
      <c r="T63" t="str">
        <f>TRIM(IF(MID(TRIM(Transportes!H64),1,FIND("-",TRIM(Transportes!H64),1)-2)="Acción humana","H","F"))</f>
        <v>F</v>
      </c>
      <c r="U63" s="47">
        <f>Transportes!G64</f>
        <v>25</v>
      </c>
    </row>
    <row r="64" spans="7:22" ht="15.75" customHeight="1">
      <c r="M64" s="148" t="s">
        <v>64</v>
      </c>
      <c r="N64" s="148" t="s">
        <v>209</v>
      </c>
      <c r="O64" s="147" t="s">
        <v>210</v>
      </c>
      <c r="P64" s="147" t="s">
        <v>201</v>
      </c>
      <c r="Q64" s="3"/>
      <c r="R64" t="str">
        <f>TRIM(MID(TRIM(Transportes!D65),1,FIND(CHAR(10),TRIM(Transportes!D65),1)-1))</f>
        <v>Apurímac</v>
      </c>
      <c r="S64" t="str">
        <f>TRIM(IF(Transportes!F65="TRÁNSITO INTERRUMPIDO","Interrumpido",IF(Transportes!F65="TRÁNSITO RESTRINGIDO","Restringido","Normal")))</f>
        <v>Restringido</v>
      </c>
      <c r="T64" t="str">
        <f>TRIM(IF(MID(TRIM(Transportes!H65),1,FIND("-",TRIM(Transportes!H65),1)-2)="Acción humana","H","F"))</f>
        <v>F</v>
      </c>
      <c r="U64" s="47">
        <f>Transportes!G65</f>
        <v>25</v>
      </c>
      <c r="V64" s="3"/>
    </row>
    <row r="65" spans="2:30" ht="15.75" customHeight="1">
      <c r="M65" s="148" t="s">
        <v>68</v>
      </c>
      <c r="N65" s="148" t="s">
        <v>200</v>
      </c>
      <c r="O65" s="147" t="s">
        <v>84</v>
      </c>
      <c r="P65" s="147" t="s">
        <v>201</v>
      </c>
      <c r="Q65" s="3"/>
      <c r="R65" t="str">
        <f>TRIM(MID(TRIM(Transportes!D66),1,FIND(CHAR(10),TRIM(Transportes!D66),1)-1))</f>
        <v>Huánuco</v>
      </c>
      <c r="S65" t="str">
        <f>TRIM(IF(Transportes!F66="TRÁNSITO INTERRUMPIDO","Interrumpido",IF(Transportes!F66="TRÁNSITO RESTRINGIDO","Restringido","Normal")))</f>
        <v>Restringido</v>
      </c>
      <c r="T65" t="str">
        <f>TRIM(IF(MID(TRIM(Transportes!H66),1,FIND("-",TRIM(Transportes!H66),1)-2)="Acción humana","H","F"))</f>
        <v>F</v>
      </c>
      <c r="U65" s="47">
        <f>Transportes!G66</f>
        <v>50</v>
      </c>
      <c r="V65" s="3"/>
    </row>
    <row r="66" spans="2:30" ht="15.75" customHeight="1">
      <c r="M66" s="148" t="s">
        <v>35</v>
      </c>
      <c r="N66" s="148" t="s">
        <v>180</v>
      </c>
      <c r="O66" s="147" t="s">
        <v>178</v>
      </c>
      <c r="P66" s="147" t="s">
        <v>179</v>
      </c>
      <c r="Q66" s="3"/>
      <c r="R66" t="str">
        <f>TRIM(MID(TRIM(Transportes!D67),1,FIND(CHAR(10),TRIM(Transportes!D67),1)-1))</f>
        <v>Cajamarca</v>
      </c>
      <c r="S66" t="str">
        <f>TRIM(IF(Transportes!F67="TRÁNSITO INTERRUMPIDO","Interrumpido",IF(Transportes!F67="TRÁNSITO RESTRINGIDO","Restringido","Normal")))</f>
        <v>Restringido</v>
      </c>
      <c r="T66" t="str">
        <f>TRIM(IF(MID(TRIM(Transportes!H67),1,FIND("-",TRIM(Transportes!H67),1)-2)="Acción humana","H","F"))</f>
        <v>F</v>
      </c>
      <c r="U66" s="47">
        <f>Transportes!G67</f>
        <v>20</v>
      </c>
      <c r="V66" s="3"/>
    </row>
    <row r="67" spans="2:30" ht="15.75" customHeight="1">
      <c r="M67" s="148" t="s">
        <v>35</v>
      </c>
      <c r="N67" s="148" t="s">
        <v>181</v>
      </c>
      <c r="O67" s="147" t="s">
        <v>178</v>
      </c>
      <c r="P67" s="147" t="s">
        <v>179</v>
      </c>
      <c r="Q67" s="3"/>
      <c r="R67" t="str">
        <f>TRIM(MID(TRIM(Transportes!D68),1,FIND(CHAR(10),TRIM(Transportes!D68),1)-1))</f>
        <v>Junín</v>
      </c>
      <c r="S67" t="str">
        <f>TRIM(IF(Transportes!F68="TRÁNSITO INTERRUMPIDO","Interrumpido",IF(Transportes!F68="TRÁNSITO RESTRINGIDO","Restringido","Normal")))</f>
        <v>Restringido</v>
      </c>
      <c r="T67" t="str">
        <f>TRIM(IF(MID(TRIM(Transportes!H68),1,FIND("-",TRIM(Transportes!H68),1)-2)="Acción humana","H","F"))</f>
        <v>F</v>
      </c>
      <c r="U67" s="47" t="str">
        <f>Transportes!G68</f>
        <v>-</v>
      </c>
      <c r="V67" s="3"/>
      <c r="AD67" t="s">
        <v>145</v>
      </c>
    </row>
    <row r="68" spans="2:30" ht="15.75" customHeight="1">
      <c r="M68" s="148" t="s">
        <v>138</v>
      </c>
      <c r="N68" s="148" t="s">
        <v>148</v>
      </c>
      <c r="O68" s="147" t="s">
        <v>149</v>
      </c>
      <c r="P68" s="147" t="s">
        <v>151</v>
      </c>
      <c r="Q68" s="3"/>
      <c r="R68" t="str">
        <f>TRIM(MID(TRIM(Transportes!D69),1,FIND(CHAR(10),TRIM(Transportes!D69),1)-1))</f>
        <v>Cajamarca</v>
      </c>
      <c r="S68" t="str">
        <f>TRIM(IF(Transportes!F69="TRÁNSITO INTERRUMPIDO","Interrumpido",IF(Transportes!F69="TRÁNSITO RESTRINGIDO","Restringido","Normal")))</f>
        <v>Restringido</v>
      </c>
      <c r="T68" t="str">
        <f>TRIM(IF(MID(TRIM(Transportes!H69),1,FIND("-",TRIM(Transportes!H69),1)-2)="Acción humana","H","F"))</f>
        <v>F</v>
      </c>
      <c r="U68" s="47">
        <f>Transportes!G69</f>
        <v>50</v>
      </c>
      <c r="V68" s="3"/>
    </row>
    <row r="69" spans="2:30" ht="15.75" customHeight="1">
      <c r="B69" s="102" t="s">
        <v>102</v>
      </c>
      <c r="G69"/>
      <c r="M69" s="148" t="s">
        <v>35</v>
      </c>
      <c r="N69" s="148" t="s">
        <v>136</v>
      </c>
      <c r="O69" s="147" t="s">
        <v>135</v>
      </c>
      <c r="P69" s="147" t="s">
        <v>137</v>
      </c>
      <c r="R69" t="str">
        <f>TRIM(MID(TRIM(Transportes!D70),1,FIND(CHAR(10),TRIM(Transportes!D70),1)-1))</f>
        <v>Puno</v>
      </c>
      <c r="S69" t="str">
        <f>TRIM(IF(Transportes!F70="TRÁNSITO INTERRUMPIDO","Interrumpido",IF(Transportes!F70="TRÁNSITO RESTRINGIDO","Restringido","Normal")))</f>
        <v>Restringido</v>
      </c>
      <c r="T69" t="str">
        <f>TRIM(IF(MID(TRIM(Transportes!H70),1,FIND("-",TRIM(Transportes!H70),1)-2)="Acción humana","H","F"))</f>
        <v>F</v>
      </c>
      <c r="U69" s="47">
        <f>Transportes!G70</f>
        <v>160</v>
      </c>
    </row>
    <row r="70" spans="2:30" ht="15.75" customHeight="1">
      <c r="G70"/>
      <c r="R70" t="str">
        <f>TRIM(MID(TRIM(Transportes!D71),1,FIND(CHAR(10),TRIM(Transportes!D71),1)-1))</f>
        <v>Pasco</v>
      </c>
      <c r="S70" t="str">
        <f>TRIM(IF(Transportes!F71="TRÁNSITO INTERRUMPIDO","Interrumpido",IF(Transportes!F71="TRÁNSITO RESTRINGIDO","Restringido","Normal")))</f>
        <v>Restringido</v>
      </c>
      <c r="T70" t="str">
        <f>TRIM(IF(MID(TRIM(Transportes!H71),1,FIND("-",TRIM(Transportes!H71),1)-2)="Acción humana","H","F"))</f>
        <v>F</v>
      </c>
      <c r="U70" s="47">
        <f>Transportes!G71</f>
        <v>800</v>
      </c>
    </row>
    <row r="71" spans="2:30" ht="15.75" customHeight="1">
      <c r="G71"/>
      <c r="R71" t="str">
        <f>TRIM(MID(TRIM(Transportes!D72),1,FIND(CHAR(10),TRIM(Transportes!D72),1)-1))</f>
        <v>Cusco</v>
      </c>
      <c r="S71" t="str">
        <f>TRIM(IF(Transportes!F72="TRÁNSITO INTERRUMPIDO","Interrumpido",IF(Transportes!F72="TRÁNSITO RESTRINGIDO","Restringido","Normal")))</f>
        <v>Restringido</v>
      </c>
      <c r="T71" t="str">
        <f>TRIM(IF(MID(TRIM(Transportes!H72),1,FIND("-",TRIM(Transportes!H72),1)-2)="Acción humana","H","F"))</f>
        <v>F</v>
      </c>
      <c r="U71" s="47">
        <f>Transportes!G72</f>
        <v>30</v>
      </c>
    </row>
    <row r="72" spans="2:30" ht="15.75" customHeight="1">
      <c r="G72"/>
      <c r="R72" t="str">
        <f>TRIM(MID(TRIM(Transportes!D73),1,FIND(CHAR(10),TRIM(Transportes!D73),1)-1))</f>
        <v>Tacna</v>
      </c>
      <c r="S72" t="str">
        <f>TRIM(IF(Transportes!F73="TRÁNSITO INTERRUMPIDO","Interrumpido",IF(Transportes!F73="TRÁNSITO RESTRINGIDO","Restringido","Normal")))</f>
        <v>Restringido</v>
      </c>
      <c r="T72" t="str">
        <f>TRIM(IF(MID(TRIM(Transportes!H73),1,FIND("-",TRIM(Transportes!H73),1)-2)="Acción humana","H","F"))</f>
        <v>F</v>
      </c>
      <c r="U72" s="47" t="str">
        <f>Transportes!G73</f>
        <v>-</v>
      </c>
    </row>
    <row r="73" spans="2:30" ht="15.75" customHeight="1">
      <c r="G73"/>
      <c r="R73" t="str">
        <f>TRIM(MID(TRIM(Transportes!D74),1,FIND(CHAR(10),TRIM(Transportes!D74),1)-1))</f>
        <v>Junín</v>
      </c>
      <c r="S73" t="str">
        <f>TRIM(IF(Transportes!F74="TRÁNSITO INTERRUMPIDO","Interrumpido",IF(Transportes!F74="TRÁNSITO RESTRINGIDO","Restringido","Normal")))</f>
        <v>Restringido</v>
      </c>
      <c r="T73" t="str">
        <f>TRIM(IF(MID(TRIM(Transportes!H74),1,FIND("-",TRIM(Transportes!H74),1)-2)="Acción humana","H","F"))</f>
        <v>F</v>
      </c>
      <c r="U73" s="47">
        <f>Transportes!G74</f>
        <v>20</v>
      </c>
    </row>
    <row r="74" spans="2:30" ht="15.75" customHeight="1">
      <c r="G74"/>
      <c r="R74" t="str">
        <f>TRIM(MID(TRIM(Transportes!D75),1,FIND(CHAR(10),TRIM(Transportes!D75),1)-1))</f>
        <v>Ayacucho</v>
      </c>
      <c r="S74" t="str">
        <f>TRIM(IF(Transportes!F75="TRÁNSITO INTERRUMPIDO","Interrumpido",IF(Transportes!F75="TRÁNSITO RESTRINGIDO","Restringido","Normal")))</f>
        <v>Restringido</v>
      </c>
      <c r="T74" t="str">
        <f>TRIM(IF(MID(TRIM(Transportes!H75),1,FIND("-",TRIM(Transportes!H75),1)-2)="Acción humana","H","F"))</f>
        <v>F</v>
      </c>
      <c r="U74" s="47">
        <f>Transportes!G75</f>
        <v>120</v>
      </c>
    </row>
    <row r="75" spans="2:30" ht="15.75" customHeight="1">
      <c r="G75"/>
      <c r="R75" t="str">
        <f>TRIM(MID(TRIM(Transportes!D76),1,FIND(CHAR(10),TRIM(Transportes!D76),1)-1))</f>
        <v>Tacna</v>
      </c>
      <c r="S75" t="str">
        <f>TRIM(IF(Transportes!F76="TRÁNSITO INTERRUMPIDO","Interrumpido",IF(Transportes!F76="TRÁNSITO RESTRINGIDO","Restringido","Normal")))</f>
        <v>Restringido</v>
      </c>
      <c r="T75" t="str">
        <f>TRIM(IF(MID(TRIM(Transportes!H76),1,FIND("-",TRIM(Transportes!H76),1)-2)="Acción humana","H","F"))</f>
        <v>F</v>
      </c>
      <c r="U75" s="47">
        <f>Transportes!G76</f>
        <v>200</v>
      </c>
    </row>
    <row r="76" spans="2:30" ht="15.75" customHeight="1">
      <c r="G76"/>
      <c r="R76" t="str">
        <f>TRIM(MID(TRIM(Transportes!D77),1,FIND(CHAR(10),TRIM(Transportes!D77),1)-1))</f>
        <v>Cusco</v>
      </c>
      <c r="S76" t="str">
        <f>TRIM(IF(Transportes!F77="TRÁNSITO INTERRUMPIDO","Interrumpido",IF(Transportes!F77="TRÁNSITO RESTRINGIDO","Restringido","Normal")))</f>
        <v>Restringido</v>
      </c>
      <c r="T76" t="str">
        <f>TRIM(IF(MID(TRIM(Transportes!H77),1,FIND("-",TRIM(Transportes!H77),1)-2)="Acción humana","H","F"))</f>
        <v>F</v>
      </c>
      <c r="U76" s="47">
        <f>Transportes!G77</f>
        <v>20</v>
      </c>
    </row>
    <row r="77" spans="2:30" ht="15.75" customHeight="1">
      <c r="G77"/>
      <c r="R77" t="str">
        <f>TRIM(MID(TRIM(Transportes!D78),1,FIND(CHAR(10),TRIM(Transportes!D78),1)-1))</f>
        <v>Piura</v>
      </c>
      <c r="S77" t="str">
        <f>TRIM(IF(Transportes!F78="TRÁNSITO INTERRUMPIDO","Interrumpido",IF(Transportes!F78="TRÁNSITO RESTRINGIDO","Restringido","Normal")))</f>
        <v>Restringido</v>
      </c>
      <c r="T77" t="str">
        <f>TRIM(IF(MID(TRIM(Transportes!H78),1,FIND("-",TRIM(Transportes!H78),1)-2)="Acción humana","H","F"))</f>
        <v>F</v>
      </c>
      <c r="U77" s="47">
        <f>Transportes!G78</f>
        <v>20</v>
      </c>
    </row>
    <row r="78" spans="2:30" ht="15.75" customHeight="1">
      <c r="G78"/>
      <c r="R78" t="str">
        <f>TRIM(MID(TRIM(Transportes!D79),1,FIND(CHAR(10),TRIM(Transportes!D79),1)-1))</f>
        <v>Cajamarca</v>
      </c>
      <c r="S78" t="str">
        <f>TRIM(IF(Transportes!F79="TRÁNSITO INTERRUMPIDO","Interrumpido",IF(Transportes!F79="TRÁNSITO RESTRINGIDO","Restringido","Normal")))</f>
        <v>Restringido</v>
      </c>
      <c r="T78" t="str">
        <f>TRIM(IF(MID(TRIM(Transportes!H79),1,FIND("-",TRIM(Transportes!H79),1)-2)="Acción humana","H","F"))</f>
        <v>F</v>
      </c>
      <c r="U78" s="47">
        <f>Transportes!G79</f>
        <v>30</v>
      </c>
    </row>
    <row r="79" spans="2:30" ht="13.5" customHeight="1">
      <c r="B79" s="55"/>
      <c r="G79"/>
      <c r="R79" t="str">
        <f>TRIM(MID(TRIM(Transportes!D80),1,FIND(CHAR(10),TRIM(Transportes!D80),1)-1))</f>
        <v>Junín</v>
      </c>
      <c r="S79" t="str">
        <f>TRIM(IF(Transportes!F80="TRÁNSITO INTERRUMPIDO","Interrumpido",IF(Transportes!F80="TRÁNSITO RESTRINGIDO","Restringido","Normal")))</f>
        <v>Restringido</v>
      </c>
      <c r="T79" t="str">
        <f>TRIM(IF(MID(TRIM(Transportes!H80),1,FIND("-",TRIM(Transportes!H80),1)-2)="Acción humana","H","F"))</f>
        <v>F</v>
      </c>
      <c r="U79" s="47">
        <f>Transportes!G80</f>
        <v>60</v>
      </c>
    </row>
    <row r="80" spans="2:30" ht="13.5" customHeight="1">
      <c r="G80"/>
      <c r="R80" t="str">
        <f>TRIM(MID(TRIM(Transportes!D81),1,FIND(CHAR(10),TRIM(Transportes!D81),1)-1))</f>
        <v>Apurímac</v>
      </c>
      <c r="S80" t="str">
        <f>TRIM(IF(Transportes!F81="TRÁNSITO INTERRUMPIDO","Interrumpido",IF(Transportes!F81="TRÁNSITO RESTRINGIDO","Restringido","Normal")))</f>
        <v>Restringido</v>
      </c>
      <c r="T80" t="str">
        <f>TRIM(IF(MID(TRIM(Transportes!H81),1,FIND("-",TRIM(Transportes!H81),1)-2)="Acción humana","H","F"))</f>
        <v>F</v>
      </c>
      <c r="U80" s="47">
        <f>Transportes!G81</f>
        <v>70</v>
      </c>
    </row>
    <row r="81" spans="17:22" ht="14.25" customHeight="1">
      <c r="Q81" s="3"/>
      <c r="R81" t="str">
        <f>TRIM(MID(TRIM(Transportes!D82),1,FIND(CHAR(10),TRIM(Transportes!D82),1)-1))</f>
        <v>Amazonas</v>
      </c>
      <c r="S81" t="str">
        <f>TRIM(IF(Transportes!F82="TRÁNSITO INTERRUMPIDO","Interrumpido",IF(Transportes!F82="TRÁNSITO RESTRINGIDO","Restringido","Normal")))</f>
        <v>Restringido</v>
      </c>
      <c r="T81" t="str">
        <f>TRIM(IF(MID(TRIM(Transportes!H82),1,FIND("-",TRIM(Transportes!H82),1)-2)="Acción humana","H","F"))</f>
        <v>F</v>
      </c>
      <c r="U81" s="47">
        <f>Transportes!G82</f>
        <v>50</v>
      </c>
      <c r="V81" s="3"/>
    </row>
    <row r="82" spans="17:22" ht="14.25" customHeight="1">
      <c r="Q82" s="3"/>
      <c r="R82" t="str">
        <f>TRIM(MID(TRIM(Transportes!D83),1,FIND(CHAR(10),TRIM(Transportes!D83),1)-1))</f>
        <v>Apurímac</v>
      </c>
      <c r="S82" t="str">
        <f>TRIM(IF(Transportes!F83="TRÁNSITO INTERRUMPIDO","Interrumpido",IF(Transportes!F83="TRÁNSITO RESTRINGIDO","Restringido","Normal")))</f>
        <v>Restringido</v>
      </c>
      <c r="T82" t="str">
        <f>TRIM(IF(MID(TRIM(Transportes!H83),1,FIND("-",TRIM(Transportes!H83),1)-2)="Acción humana","H","F"))</f>
        <v>F</v>
      </c>
      <c r="U82" s="47">
        <f>Transportes!G83</f>
        <v>35</v>
      </c>
      <c r="V82" s="3"/>
    </row>
    <row r="83" spans="17:22" ht="14.25" customHeight="1">
      <c r="R83" t="str">
        <f>TRIM(MID(TRIM(Transportes!D84),1,FIND(CHAR(10),TRIM(Transportes!D84),1)-1))</f>
        <v>Arequipa</v>
      </c>
      <c r="S83" t="str">
        <f>TRIM(IF(Transportes!F84="TRÁNSITO INTERRUMPIDO","Interrumpido",IF(Transportes!F84="TRÁNSITO RESTRINGIDO","Restringido","Normal")))</f>
        <v>Restringido</v>
      </c>
      <c r="T83" t="str">
        <f>TRIM(IF(MID(TRIM(Transportes!H84),1,FIND("-",TRIM(Transportes!H84),1)-2)="Acción humana","H","F"))</f>
        <v>F</v>
      </c>
      <c r="U83" s="47" t="str">
        <f>Transportes!G84</f>
        <v>-</v>
      </c>
    </row>
    <row r="84" spans="17:22" ht="14.25" customHeight="1">
      <c r="R84" t="str">
        <f>TRIM(MID(TRIM(Transportes!D85),1,FIND(CHAR(10),TRIM(Transportes!D85),1)-1))</f>
        <v>Moquegua</v>
      </c>
      <c r="S84" t="str">
        <f>TRIM(IF(Transportes!F85="TRÁNSITO INTERRUMPIDO","Interrumpido",IF(Transportes!F85="TRÁNSITO RESTRINGIDO","Restringido","Normal")))</f>
        <v>Restringido</v>
      </c>
      <c r="T84" t="str">
        <f>TRIM(IF(MID(TRIM(Transportes!H85),1,FIND("-",TRIM(Transportes!H85),1)-2)="Acción humana","H","F"))</f>
        <v>F</v>
      </c>
      <c r="U84" s="47">
        <f>Transportes!G85</f>
        <v>10</v>
      </c>
    </row>
    <row r="85" spans="17:22" ht="14.25" customHeight="1">
      <c r="R85" t="str">
        <f>TRIM(MID(TRIM(Transportes!D86),1,FIND(CHAR(10),TRIM(Transportes!D86),1)-1))</f>
        <v>Huánuco</v>
      </c>
      <c r="S85" t="str">
        <f>TRIM(IF(Transportes!F86="TRÁNSITO INTERRUMPIDO","Interrumpido",IF(Transportes!F86="TRÁNSITO RESTRINGIDO","Restringido","Normal")))</f>
        <v>Restringido</v>
      </c>
      <c r="T85" t="str">
        <f>TRIM(IF(MID(TRIM(Transportes!H86),1,FIND("-",TRIM(Transportes!H86),1)-2)="Acción humana","H","F"))</f>
        <v>F</v>
      </c>
      <c r="U85" s="47">
        <f>Transportes!G86</f>
        <v>140</v>
      </c>
    </row>
    <row r="86" spans="17:22" ht="14.25" customHeight="1">
      <c r="R86" t="str">
        <f>TRIM(MID(TRIM(Transportes!D87),1,FIND(CHAR(10),TRIM(Transportes!D87),1)-1))</f>
        <v>La Libertad</v>
      </c>
      <c r="S86" t="str">
        <f>TRIM(IF(Transportes!F87="TRÁNSITO INTERRUMPIDO","Interrumpido",IF(Transportes!F87="TRÁNSITO RESTRINGIDO","Restringido","Normal")))</f>
        <v>Restringido</v>
      </c>
      <c r="T86" t="str">
        <f>TRIM(IF(MID(TRIM(Transportes!H87),1,FIND("-",TRIM(Transportes!H87),1)-2)="Acción humana","H","F"))</f>
        <v>F</v>
      </c>
      <c r="U86" s="47" t="str">
        <f>Transportes!G87</f>
        <v>-</v>
      </c>
    </row>
    <row r="87" spans="17:22" ht="14.25" customHeight="1">
      <c r="R87" t="str">
        <f>TRIM(MID(TRIM(Transportes!D88),1,FIND(CHAR(10),TRIM(Transportes!D88),1)-1))</f>
        <v>La Libertad</v>
      </c>
      <c r="S87" t="str">
        <f>TRIM(IF(Transportes!F88="TRÁNSITO INTERRUMPIDO","Interrumpido",IF(Transportes!F88="TRÁNSITO RESTRINGIDO","Restringido","Normal")))</f>
        <v>Restringido</v>
      </c>
      <c r="T87" t="str">
        <f>TRIM(IF(MID(TRIM(Transportes!H88),1,FIND("-",TRIM(Transportes!H88),1)-2)="Acción humana","H","F"))</f>
        <v>F</v>
      </c>
      <c r="U87" s="47" t="str">
        <f>Transportes!G88</f>
        <v>-</v>
      </c>
    </row>
    <row r="88" spans="17:22" ht="14.25" customHeight="1">
      <c r="R88" t="str">
        <f>TRIM(MID(TRIM(Transportes!D89),1,FIND(CHAR(10),TRIM(Transportes!D89),1)-1))</f>
        <v>La Libertad</v>
      </c>
      <c r="S88" t="str">
        <f>TRIM(IF(Transportes!F89="TRÁNSITO INTERRUMPIDO","Interrumpido",IF(Transportes!F89="TRÁNSITO RESTRINGIDO","Restringido","Normal")))</f>
        <v>Restringido</v>
      </c>
      <c r="T88" t="str">
        <f>TRIM(IF(MID(TRIM(Transportes!H89),1,FIND("-",TRIM(Transportes!H89),1)-2)="Acción humana","H","F"))</f>
        <v>F</v>
      </c>
      <c r="U88" s="47">
        <f>Transportes!G89</f>
        <v>150</v>
      </c>
    </row>
    <row r="89" spans="17:22" ht="14.25" customHeight="1">
      <c r="R89" t="str">
        <f>TRIM(MID(TRIM(Transportes!D90),1,FIND(CHAR(10),TRIM(Transportes!D90),1)-1))</f>
        <v>Junín</v>
      </c>
      <c r="S89" t="str">
        <f>TRIM(IF(Transportes!F90="TRÁNSITO INTERRUMPIDO","Interrumpido",IF(Transportes!F90="TRÁNSITO RESTRINGIDO","Restringido","Normal")))</f>
        <v>Restringido</v>
      </c>
      <c r="T89" t="str">
        <f>TRIM(IF(MID(TRIM(Transportes!H90),1,FIND("-",TRIM(Transportes!H90),1)-2)="Acción humana","H","F"))</f>
        <v>F</v>
      </c>
      <c r="U89" s="47">
        <f>Transportes!G90</f>
        <v>10</v>
      </c>
    </row>
    <row r="90" spans="17:22" ht="14.25" customHeight="1">
      <c r="R90" t="str">
        <f>TRIM(MID(TRIM(Transportes!D91),1,FIND(CHAR(10),TRIM(Transportes!D91),1)-1))</f>
        <v>Tacna</v>
      </c>
      <c r="S90" t="str">
        <f>TRIM(IF(Transportes!F91="TRÁNSITO INTERRUMPIDO","Interrumpido",IF(Transportes!F91="TRÁNSITO RESTRINGIDO","Restringido","Normal")))</f>
        <v>Restringido</v>
      </c>
      <c r="T90" t="str">
        <f>TRIM(IF(MID(TRIM(Transportes!H91),1,FIND("-",TRIM(Transportes!H91),1)-2)="Acción humana","H","F"))</f>
        <v>F</v>
      </c>
      <c r="U90" s="47" t="str">
        <f>Transportes!G91</f>
        <v>-</v>
      </c>
    </row>
    <row r="91" spans="17:22" ht="14.25" customHeight="1">
      <c r="R91" t="str">
        <f>TRIM(MID(TRIM(Transportes!D92),1,FIND(CHAR(10),TRIM(Transportes!D92),1)-1))</f>
        <v>Cajamarca</v>
      </c>
      <c r="S91" t="str">
        <f>TRIM(IF(Transportes!F92="TRÁNSITO INTERRUMPIDO","Interrumpido",IF(Transportes!F92="TRÁNSITO RESTRINGIDO","Restringido","Normal")))</f>
        <v>Restringido</v>
      </c>
      <c r="T91" t="str">
        <f>TRIM(IF(MID(TRIM(Transportes!H92),1,FIND("-",TRIM(Transportes!H92),1)-2)="Acción humana","H","F"))</f>
        <v>F</v>
      </c>
      <c r="U91" s="47">
        <f>Transportes!G92</f>
        <v>65</v>
      </c>
    </row>
    <row r="92" spans="17:22" ht="14.25" customHeight="1">
      <c r="R92" t="str">
        <f>TRIM(MID(TRIM(Transportes!D93),1,FIND(CHAR(10),TRIM(Transportes!D93),1)-1))</f>
        <v>Cusco</v>
      </c>
      <c r="S92" t="str">
        <f>TRIM(IF(Transportes!F93="TRÁNSITO INTERRUMPIDO","Interrumpido",IF(Transportes!F93="TRÁNSITO RESTRINGIDO","Restringido","Normal")))</f>
        <v>Restringido</v>
      </c>
      <c r="T92" t="str">
        <f>TRIM(IF(MID(TRIM(Transportes!H93),1,FIND("-",TRIM(Transportes!H93),1)-2)="Acción humana","H","F"))</f>
        <v>F</v>
      </c>
      <c r="U92" s="47">
        <f>Transportes!G93</f>
        <v>120</v>
      </c>
    </row>
    <row r="93" spans="17:22" ht="14.25" customHeight="1">
      <c r="R93" t="str">
        <f>TRIM(MID(TRIM(Transportes!D94),1,FIND(CHAR(10),TRIM(Transportes!D94),1)-1))</f>
        <v>Piura</v>
      </c>
      <c r="S93" t="str">
        <f>TRIM(IF(Transportes!F94="TRÁNSITO INTERRUMPIDO","Interrumpido",IF(Transportes!F94="TRÁNSITO RESTRINGIDO","Restringido","Normal")))</f>
        <v>Restringido</v>
      </c>
      <c r="T93" t="str">
        <f>TRIM(IF(MID(TRIM(Transportes!H94),1,FIND("-",TRIM(Transportes!H94),1)-2)="Acción humana","H","F"))</f>
        <v>F</v>
      </c>
      <c r="U93" s="47">
        <f>Transportes!G94</f>
        <v>120</v>
      </c>
    </row>
    <row r="94" spans="17:22" ht="14.25" customHeight="1">
      <c r="R94" t="str">
        <f>TRIM(MID(TRIM(Transportes!D95),1,FIND(CHAR(10),TRIM(Transportes!D95),1)-1))</f>
        <v>Piura</v>
      </c>
      <c r="S94" t="str">
        <f>TRIM(IF(Transportes!F95="TRÁNSITO INTERRUMPIDO","Interrumpido",IF(Transportes!F95="TRÁNSITO RESTRINGIDO","Restringido","Normal")))</f>
        <v>Restringido</v>
      </c>
      <c r="T94" t="str">
        <f>TRIM(IF(MID(TRIM(Transportes!H95),1,FIND("-",TRIM(Transportes!H95),1)-2)="Acción humana","H","F"))</f>
        <v>F</v>
      </c>
      <c r="U94" s="47">
        <f>Transportes!G95</f>
        <v>120</v>
      </c>
    </row>
    <row r="95" spans="17:22" ht="14.25" customHeight="1">
      <c r="R95" t="str">
        <f>TRIM(MID(TRIM(Transportes!D96),1,FIND(CHAR(10),TRIM(Transportes!D96),1)-1))</f>
        <v>Ica</v>
      </c>
      <c r="S95" t="str">
        <f>TRIM(IF(Transportes!F96="TRÁNSITO INTERRUMPIDO","Interrumpido",IF(Transportes!F96="TRÁNSITO RESTRINGIDO","Restringido","Normal")))</f>
        <v>Restringido</v>
      </c>
      <c r="T95" t="str">
        <f>TRIM(IF(MID(TRIM(Transportes!H96),1,FIND("-",TRIM(Transportes!H96),1)-2)="Acción humana","H","F"))</f>
        <v>F</v>
      </c>
      <c r="U95" s="47" t="str">
        <f>Transportes!G96</f>
        <v>-</v>
      </c>
    </row>
    <row r="96" spans="17:22" ht="14.25" customHeight="1">
      <c r="R96" t="str">
        <f>TRIM(MID(TRIM(Transportes!D97),1,FIND(CHAR(10),TRIM(Transportes!D97),1)-1))</f>
        <v>Huánuco</v>
      </c>
      <c r="S96" t="str">
        <f>TRIM(IF(Transportes!F97="TRÁNSITO INTERRUMPIDO","Interrumpido",IF(Transportes!F97="TRÁNSITO RESTRINGIDO","Restringido","Normal")))</f>
        <v>Restringido</v>
      </c>
      <c r="T96" t="str">
        <f>TRIM(IF(MID(TRIM(Transportes!H97),1,FIND("-",TRIM(Transportes!H97),1)-2)="Acción humana","H","F"))</f>
        <v>F</v>
      </c>
      <c r="U96" s="47">
        <f>Transportes!G97</f>
        <v>500</v>
      </c>
    </row>
    <row r="97" spans="18:21" ht="14.25" customHeight="1">
      <c r="R97" t="str">
        <f>TRIM(MID(TRIM(Transportes!D98),1,FIND(CHAR(10),TRIM(Transportes!D98),1)-1))</f>
        <v>Amazonas</v>
      </c>
      <c r="S97" t="str">
        <f>TRIM(IF(Transportes!F98="TRÁNSITO INTERRUMPIDO","Interrumpido",IF(Transportes!F98="TRÁNSITO RESTRINGIDO","Restringido","Normal")))</f>
        <v>Restringido</v>
      </c>
      <c r="T97" t="str">
        <f>TRIM(IF(MID(TRIM(Transportes!H98),1,FIND("-",TRIM(Transportes!H98),1)-2)="Acción humana","H","F"))</f>
        <v>F</v>
      </c>
      <c r="U97" s="47">
        <f>Transportes!G98</f>
        <v>20</v>
      </c>
    </row>
    <row r="98" spans="18:21" ht="14.25" customHeight="1">
      <c r="R98" t="str">
        <f>TRIM(MID(TRIM(Transportes!D99),1,FIND(CHAR(10),TRIM(Transportes!D99),1)-1))</f>
        <v>Moquegua</v>
      </c>
      <c r="S98" t="str">
        <f>TRIM(IF(Transportes!F99="TRÁNSITO INTERRUMPIDO","Interrumpido",IF(Transportes!F99="TRÁNSITO RESTRINGIDO","Restringido","Normal")))</f>
        <v>Restringido</v>
      </c>
      <c r="T98" t="str">
        <f>TRIM(IF(MID(TRIM(Transportes!H99),1,FIND("-",TRIM(Transportes!H99),1)-2)="Acción humana","H","F"))</f>
        <v>F</v>
      </c>
      <c r="U98" s="47">
        <f>Transportes!G99</f>
        <v>50</v>
      </c>
    </row>
    <row r="99" spans="18:21" ht="14.25" customHeight="1">
      <c r="R99" t="str">
        <f>TRIM(MID(TRIM(Transportes!D100),1,FIND(CHAR(10),TRIM(Transportes!D100),1)-1))</f>
        <v>Lima</v>
      </c>
      <c r="S99" t="str">
        <f>TRIM(IF(Transportes!F100="TRÁNSITO INTERRUMPIDO","Interrumpido",IF(Transportes!F100="TRÁNSITO RESTRINGIDO","Restringido","Normal")))</f>
        <v>Restringido</v>
      </c>
      <c r="T99" t="str">
        <f>TRIM(IF(MID(TRIM(Transportes!H100),1,FIND("-",TRIM(Transportes!H100),1)-2)="Acción humana","H","F"))</f>
        <v>F</v>
      </c>
      <c r="U99" s="47">
        <f>Transportes!G100</f>
        <v>0</v>
      </c>
    </row>
    <row r="100" spans="18:21" ht="14.25" customHeight="1">
      <c r="R100" t="str">
        <f>TRIM(MID(TRIM(Transportes!D101),1,FIND(CHAR(10),TRIM(Transportes!D101),1)-1))</f>
        <v>Apurímac</v>
      </c>
      <c r="S100" t="str">
        <f>TRIM(IF(Transportes!F101="TRÁNSITO INTERRUMPIDO","Interrumpido",IF(Transportes!F101="TRÁNSITO RESTRINGIDO","Restringido","Normal")))</f>
        <v>Restringido</v>
      </c>
      <c r="T100" t="str">
        <f>TRIM(IF(MID(TRIM(Transportes!H101),1,FIND("-",TRIM(Transportes!H101),1)-2)="Acción humana","H","F"))</f>
        <v>F</v>
      </c>
      <c r="U100" s="47">
        <f>Transportes!G101</f>
        <v>150</v>
      </c>
    </row>
    <row r="101" spans="18:21" ht="14.25" customHeight="1">
      <c r="R101" t="str">
        <f>TRIM(MID(TRIM(Transportes!D102),1,FIND(CHAR(10),TRIM(Transportes!D102),1)-1))</f>
        <v>Cusco</v>
      </c>
      <c r="S101" t="str">
        <f>TRIM(IF(Transportes!F102="TRÁNSITO INTERRUMPIDO","Interrumpido",IF(Transportes!F102="TRÁNSITO RESTRINGIDO","Restringido","Normal")))</f>
        <v>Restringido</v>
      </c>
      <c r="T101" t="str">
        <f>TRIM(IF(MID(TRIM(Transportes!H102),1,FIND("-",TRIM(Transportes!H102),1)-2)="Acción humana","H","F"))</f>
        <v>F</v>
      </c>
      <c r="U101" s="47">
        <f>Transportes!G102</f>
        <v>860</v>
      </c>
    </row>
    <row r="102" spans="18:21" ht="14.25" customHeight="1">
      <c r="R102" t="str">
        <f>TRIM(MID(TRIM(Transportes!D103),1,FIND(CHAR(10),TRIM(Transportes!D103),1)-1))</f>
        <v>Piura</v>
      </c>
      <c r="S102" t="str">
        <f>TRIM(IF(Transportes!F103="TRÁNSITO INTERRUMPIDO","Interrumpido",IF(Transportes!F103="TRÁNSITO RESTRINGIDO","Restringido","Normal")))</f>
        <v>Restringido</v>
      </c>
      <c r="T102" t="str">
        <f>TRIM(IF(MID(TRIM(Transportes!H103),1,FIND("-",TRIM(Transportes!H103),1)-2)="Acción humana","H","F"))</f>
        <v>F</v>
      </c>
      <c r="U102" s="47">
        <f>Transportes!G103</f>
        <v>120</v>
      </c>
    </row>
    <row r="103" spans="18:21" ht="14.25" customHeight="1">
      <c r="R103" t="str">
        <f>TRIM(MID(TRIM(Transportes!D104),1,FIND(CHAR(10),TRIM(Transportes!D104),1)-1))</f>
        <v>Junín</v>
      </c>
      <c r="S103" t="str">
        <f>TRIM(IF(Transportes!F104="TRÁNSITO INTERRUMPIDO","Interrumpido",IF(Transportes!F104="TRÁNSITO RESTRINGIDO","Restringido","Normal")))</f>
        <v>Restringido</v>
      </c>
      <c r="T103" t="str">
        <f>TRIM(IF(MID(TRIM(Transportes!H104),1,FIND("-",TRIM(Transportes!H104),1)-2)="Acción humana","H","F"))</f>
        <v>F</v>
      </c>
      <c r="U103" s="47" t="str">
        <f>Transportes!G104</f>
        <v>-</v>
      </c>
    </row>
    <row r="104" spans="18:21" ht="14.25" customHeight="1">
      <c r="R104" t="str">
        <f>TRIM(MID(TRIM(Transportes!D105),1,FIND(CHAR(10),TRIM(Transportes!D105),1)-1))</f>
        <v>Huánuco</v>
      </c>
      <c r="S104" t="str">
        <f>TRIM(IF(Transportes!F105="TRÁNSITO INTERRUMPIDO","Interrumpido",IF(Transportes!F105="TRÁNSITO RESTRINGIDO","Restringido","Normal")))</f>
        <v>Restringido</v>
      </c>
      <c r="T104" t="str">
        <f>TRIM(IF(MID(TRIM(Transportes!H105),1,FIND("-",TRIM(Transportes!H105),1)-2)="Acción humana","H","F"))</f>
        <v>F</v>
      </c>
      <c r="U104" s="47">
        <f>Transportes!G105</f>
        <v>100</v>
      </c>
    </row>
    <row r="105" spans="18:21" ht="14.25" customHeight="1">
      <c r="R105" t="str">
        <f>TRIM(MID(TRIM(Transportes!D106),1,FIND(CHAR(10),TRIM(Transportes!D106),1)-1))</f>
        <v>Junín</v>
      </c>
      <c r="S105" t="str">
        <f>TRIM(IF(Transportes!F106="TRÁNSITO INTERRUMPIDO","Interrumpido",IF(Transportes!F106="TRÁNSITO RESTRINGIDO","Restringido","Normal")))</f>
        <v>Restringido</v>
      </c>
      <c r="T105" t="str">
        <f>TRIM(IF(MID(TRIM(Transportes!H106),1,FIND("-",TRIM(Transportes!H106),1)-2)="Acción humana","H","F"))</f>
        <v>F</v>
      </c>
      <c r="U105" s="47" t="str">
        <f>Transportes!G106</f>
        <v>-</v>
      </c>
    </row>
    <row r="106" spans="18:21" ht="14.25" customHeight="1">
      <c r="R106" t="str">
        <f>TRIM(MID(TRIM(Transportes!D107),1,FIND(CHAR(10),TRIM(Transportes!D107),1)-1))</f>
        <v>Moquegua</v>
      </c>
      <c r="S106" t="str">
        <f>TRIM(IF(Transportes!F107="TRÁNSITO INTERRUMPIDO","Interrumpido",IF(Transportes!F107="TRÁNSITO RESTRINGIDO","Restringido","Normal")))</f>
        <v>Restringido</v>
      </c>
      <c r="T106" t="str">
        <f>TRIM(IF(MID(TRIM(Transportes!H107),1,FIND("-",TRIM(Transportes!H107),1)-2)="Acción humana","H","F"))</f>
        <v>F</v>
      </c>
      <c r="U106" s="47">
        <f>Transportes!G107</f>
        <v>50</v>
      </c>
    </row>
    <row r="107" spans="18:21" ht="14.25" customHeight="1">
      <c r="R107" t="str">
        <f>TRIM(MID(TRIM(Transportes!D108),1,FIND(CHAR(10),TRIM(Transportes!D108),1)-1))</f>
        <v>Cajamarca</v>
      </c>
      <c r="S107" t="str">
        <f>TRIM(IF(Transportes!F108="TRÁNSITO INTERRUMPIDO","Interrumpido",IF(Transportes!F108="TRÁNSITO RESTRINGIDO","Restringido","Normal")))</f>
        <v>Restringido</v>
      </c>
      <c r="T107" t="str">
        <f>TRIM(IF(MID(TRIM(Transportes!H108),1,FIND("-",TRIM(Transportes!H108),1)-2)="Acción humana","H","F"))</f>
        <v>F</v>
      </c>
      <c r="U107" s="47">
        <f>Transportes!G108</f>
        <v>30</v>
      </c>
    </row>
    <row r="108" spans="18:21" ht="14.25" customHeight="1">
      <c r="R108" t="str">
        <f>TRIM(MID(TRIM(Transportes!D109),1,FIND(CHAR(10),TRIM(Transportes!D109),1)-1))</f>
        <v>Arequipa</v>
      </c>
      <c r="S108" t="str">
        <f>TRIM(IF(Transportes!F109="TRÁNSITO INTERRUMPIDO","Interrumpido",IF(Transportes!F109="TRÁNSITO RESTRINGIDO","Restringido","Normal")))</f>
        <v>Restringido</v>
      </c>
      <c r="T108" t="str">
        <f>TRIM(IF(MID(TRIM(Transportes!H109),1,FIND("-",TRIM(Transportes!H109),1)-2)="Acción humana","H","F"))</f>
        <v>H</v>
      </c>
      <c r="U108" s="47">
        <f>Transportes!G109</f>
        <v>50</v>
      </c>
    </row>
    <row r="109" spans="18:21" ht="14.25" customHeight="1">
      <c r="R109" t="str">
        <f>TRIM(MID(TRIM(Transportes!D110),1,FIND(CHAR(10),TRIM(Transportes!D110),1)-1))</f>
        <v>Huánuco</v>
      </c>
      <c r="S109" t="str">
        <f>TRIM(IF(Transportes!F110="TRÁNSITO INTERRUMPIDO","Interrumpido",IF(Transportes!F110="TRÁNSITO RESTRINGIDO","Restringido","Normal")))</f>
        <v>Restringido</v>
      </c>
      <c r="T109" t="str">
        <f>TRIM(IF(MID(TRIM(Transportes!H110),1,FIND("-",TRIM(Transportes!H110),1)-2)="Acción humana","H","F"))</f>
        <v>F</v>
      </c>
      <c r="U109" s="47">
        <f>Transportes!G110</f>
        <v>100</v>
      </c>
    </row>
    <row r="110" spans="18:21" ht="14.25" customHeight="1">
      <c r="R110" t="str">
        <f>TRIM(MID(TRIM(Transportes!D111),1,FIND(CHAR(10),TRIM(Transportes!D111),1)-1))</f>
        <v>Junín</v>
      </c>
      <c r="S110" t="str">
        <f>TRIM(IF(Transportes!F111="TRÁNSITO INTERRUMPIDO","Interrumpido",IF(Transportes!F111="TRÁNSITO RESTRINGIDO","Restringido","Normal")))</f>
        <v>Restringido</v>
      </c>
      <c r="T110" t="str">
        <f>TRIM(IF(MID(TRIM(Transportes!H111),1,FIND("-",TRIM(Transportes!H111),1)-2)="Acción humana","H","F"))</f>
        <v>F</v>
      </c>
      <c r="U110" s="47">
        <f>Transportes!G111</f>
        <v>1</v>
      </c>
    </row>
    <row r="111" spans="18:21" ht="14.25" customHeight="1">
      <c r="R111" t="str">
        <f>TRIM(MID(TRIM(Transportes!D112),1,FIND(CHAR(10),TRIM(Transportes!D112),1)-1))</f>
        <v>Moquegua</v>
      </c>
      <c r="S111" t="str">
        <f>TRIM(IF(Transportes!F112="TRÁNSITO INTERRUMPIDO","Interrumpido",IF(Transportes!F112="TRÁNSITO RESTRINGIDO","Restringido","Normal")))</f>
        <v>Restringido</v>
      </c>
      <c r="T111" t="str">
        <f>TRIM(IF(MID(TRIM(Transportes!H112),1,FIND("-",TRIM(Transportes!H112),1)-2)="Acción humana","H","F"))</f>
        <v>F</v>
      </c>
      <c r="U111" s="47" t="str">
        <f>Transportes!G112</f>
        <v>-</v>
      </c>
    </row>
    <row r="112" spans="18:21" ht="14.25" customHeight="1">
      <c r="R112" t="str">
        <f>TRIM(MID(TRIM(Transportes!D113),1,FIND(CHAR(10),TRIM(Transportes!D113),1)-1))</f>
        <v>Ucayali</v>
      </c>
      <c r="S112" t="str">
        <f>TRIM(IF(Transportes!F113="TRÁNSITO INTERRUMPIDO","Interrumpido",IF(Transportes!F113="TRÁNSITO RESTRINGIDO","Restringido","Normal")))</f>
        <v>Restringido</v>
      </c>
      <c r="T112" t="str">
        <f>TRIM(IF(MID(TRIM(Transportes!H113),1,FIND("-",TRIM(Transportes!H113),1)-2)="Acción humana","H","F"))</f>
        <v>F</v>
      </c>
      <c r="U112" s="47">
        <f>Transportes!G113</f>
        <v>300</v>
      </c>
    </row>
    <row r="113" spans="18:21" ht="14.25" customHeight="1">
      <c r="R113" t="str">
        <f>TRIM(MID(TRIM(Transportes!D114),1,FIND(CHAR(10),TRIM(Transportes!D114),1)-1))</f>
        <v>Amazonas</v>
      </c>
      <c r="S113" t="str">
        <f>TRIM(IF(Transportes!F114="TRÁNSITO INTERRUMPIDO","Interrumpido",IF(Transportes!F114="TRÁNSITO RESTRINGIDO","Restringido","Normal")))</f>
        <v>Restringido</v>
      </c>
      <c r="T113" t="str">
        <f>TRIM(IF(MID(TRIM(Transportes!H114),1,FIND("-",TRIM(Transportes!H114),1)-2)="Acción humana","H","F"))</f>
        <v>F</v>
      </c>
      <c r="U113" s="47">
        <f>Transportes!G114</f>
        <v>100</v>
      </c>
    </row>
    <row r="114" spans="18:21" ht="14.25" customHeight="1">
      <c r="R114" t="str">
        <f>TRIM(MID(TRIM(Transportes!D115),1,FIND(CHAR(10),TRIM(Transportes!D115),1)-1))</f>
        <v>Piura</v>
      </c>
      <c r="S114" t="str">
        <f>TRIM(IF(Transportes!F115="TRÁNSITO INTERRUMPIDO","Interrumpido",IF(Transportes!F115="TRÁNSITO RESTRINGIDO","Restringido","Normal")))</f>
        <v>Restringido</v>
      </c>
      <c r="T114" t="str">
        <f>TRIM(IF(MID(TRIM(Transportes!H115),1,FIND("-",TRIM(Transportes!H115),1)-2)="Acción humana","H","F"))</f>
        <v>F</v>
      </c>
      <c r="U114" s="47" t="str">
        <f>Transportes!G115</f>
        <v>-</v>
      </c>
    </row>
    <row r="115" spans="18:21" ht="14.25" customHeight="1">
      <c r="R115" t="str">
        <f>TRIM(MID(TRIM(Transportes!D116),1,FIND(CHAR(10),TRIM(Transportes!D116),1)-1))</f>
        <v>Lima</v>
      </c>
      <c r="S115" t="str">
        <f>TRIM(IF(Transportes!F116="TRÁNSITO INTERRUMPIDO","Interrumpido",IF(Transportes!F116="TRÁNSITO RESTRINGIDO","Restringido","Normal")))</f>
        <v>Restringido</v>
      </c>
      <c r="T115" t="str">
        <f>TRIM(IF(MID(TRIM(Transportes!H116),1,FIND("-",TRIM(Transportes!H116),1)-2)="Acción humana","H","F"))</f>
        <v>F</v>
      </c>
      <c r="U115" s="47">
        <f>Transportes!G116</f>
        <v>200</v>
      </c>
    </row>
    <row r="116" spans="18:21" ht="14.25" customHeight="1">
      <c r="R116" t="str">
        <f>TRIM(MID(TRIM(Transportes!D117),1,FIND(CHAR(10),TRIM(Transportes!D117),1)-1))</f>
        <v>Junín</v>
      </c>
      <c r="S116" t="str">
        <f>TRIM(IF(Transportes!F117="TRÁNSITO INTERRUMPIDO","Interrumpido",IF(Transportes!F117="TRÁNSITO RESTRINGIDO","Restringido","Normal")))</f>
        <v>Restringido</v>
      </c>
      <c r="T116" t="str">
        <f>TRIM(IF(MID(TRIM(Transportes!H117),1,FIND("-",TRIM(Transportes!H117),1)-2)="Acción humana","H","F"))</f>
        <v>F</v>
      </c>
      <c r="U116" s="47">
        <f>Transportes!G117</f>
        <v>300</v>
      </c>
    </row>
    <row r="117" spans="18:21" ht="14.25" customHeight="1">
      <c r="R117" t="str">
        <f>TRIM(MID(TRIM(Transportes!D118),1,FIND(CHAR(10),TRIM(Transportes!D118),1)-1))</f>
        <v>Junín</v>
      </c>
      <c r="S117" t="str">
        <f>TRIM(IF(Transportes!F118="TRÁNSITO INTERRUMPIDO","Interrumpido",IF(Transportes!F118="TRÁNSITO RESTRINGIDO","Restringido","Normal")))</f>
        <v>Restringido</v>
      </c>
      <c r="T117" t="str">
        <f>TRIM(IF(MID(TRIM(Transportes!H118),1,FIND("-",TRIM(Transportes!H118),1)-2)="Acción humana","H","F"))</f>
        <v>F</v>
      </c>
      <c r="U117" s="47">
        <f>Transportes!G118</f>
        <v>20</v>
      </c>
    </row>
    <row r="118" spans="18:21" ht="14.25" customHeight="1">
      <c r="R118" t="str">
        <f>TRIM(MID(TRIM(Transportes!D119),1,FIND(CHAR(10),TRIM(Transportes!D119),1)-1))</f>
        <v>Tumbes</v>
      </c>
      <c r="S118" t="str">
        <f>TRIM(IF(Transportes!F119="TRÁNSITO INTERRUMPIDO","Interrumpido",IF(Transportes!F119="TRÁNSITO RESTRINGIDO","Restringido","Normal")))</f>
        <v>Restringido</v>
      </c>
      <c r="T118" t="str">
        <f>TRIM(IF(MID(TRIM(Transportes!H119),1,FIND("-",TRIM(Transportes!H119),1)-2)="Acción humana","H","F"))</f>
        <v>F</v>
      </c>
      <c r="U118" s="47">
        <f>Transportes!G119</f>
        <v>0</v>
      </c>
    </row>
    <row r="119" spans="18:21" ht="14.25" customHeight="1">
      <c r="R119" t="str">
        <f>TRIM(MID(TRIM(Transportes!D120),1,FIND(CHAR(10),TRIM(Transportes!D120),1)-1))</f>
        <v>Cusco</v>
      </c>
      <c r="S119" t="str">
        <f>TRIM(IF(Transportes!F120="TRÁNSITO INTERRUMPIDO","Interrumpido",IF(Transportes!F120="TRÁNSITO RESTRINGIDO","Restringido","Normal")))</f>
        <v>Restringido</v>
      </c>
      <c r="T119" t="str">
        <f>TRIM(IF(MID(TRIM(Transportes!H120),1,FIND("-",TRIM(Transportes!H120),1)-2)="Acción humana","H","F"))</f>
        <v>F</v>
      </c>
      <c r="U119" s="47">
        <f>Transportes!G120</f>
        <v>30</v>
      </c>
    </row>
    <row r="120" spans="18:21">
      <c r="R120" t="str">
        <f>TRIM(MID(TRIM(Transportes!D121),1,FIND(CHAR(10),TRIM(Transportes!D121),1)-1))</f>
        <v>Amazonas</v>
      </c>
      <c r="S120" t="str">
        <f>TRIM(IF(Transportes!F121="TRÁNSITO INTERRUMPIDO","Interrumpido",IF(Transportes!F121="TRÁNSITO RESTRINGIDO","Restringido","Normal")))</f>
        <v>Restringido</v>
      </c>
      <c r="T120" t="str">
        <f>TRIM(IF(MID(TRIM(Transportes!H121),1,FIND("-",TRIM(Transportes!H121),1)-2)="Acción humana","H","F"))</f>
        <v>H</v>
      </c>
      <c r="U120" s="47">
        <f>Transportes!G121</f>
        <v>40</v>
      </c>
    </row>
    <row r="121" spans="18:21">
      <c r="R121" t="str">
        <f>TRIM(MID(TRIM(Transportes!D122),1,FIND(CHAR(10),TRIM(Transportes!D122),1)-1))</f>
        <v>Cajamarca</v>
      </c>
      <c r="S121" t="str">
        <f>TRIM(IF(Transportes!F122="TRÁNSITO INTERRUMPIDO","Interrumpido",IF(Transportes!F122="TRÁNSITO RESTRINGIDO","Restringido","Normal")))</f>
        <v>Restringido</v>
      </c>
      <c r="T121" t="str">
        <f>TRIM(IF(MID(TRIM(Transportes!H122),1,FIND("-",TRIM(Transportes!H122),1)-2)="Acción humana","H","F"))</f>
        <v>F</v>
      </c>
      <c r="U121" s="47">
        <f>Transportes!G122</f>
        <v>0</v>
      </c>
    </row>
    <row r="122" spans="18:21">
      <c r="R122" t="str">
        <f>TRIM(MID(TRIM(Transportes!D123),1,FIND(CHAR(10),TRIM(Transportes!D123),1)-1))</f>
        <v>Pasco</v>
      </c>
      <c r="S122" t="str">
        <f>TRIM(IF(Transportes!F123="TRÁNSITO INTERRUMPIDO","Interrumpido",IF(Transportes!F123="TRÁNSITO RESTRINGIDO","Restringido","Normal")))</f>
        <v>Restringido</v>
      </c>
      <c r="T122" t="str">
        <f>TRIM(IF(MID(TRIM(Transportes!H123),1,FIND("-",TRIM(Transportes!H123),1)-2)="Acción humana","H","F"))</f>
        <v>F</v>
      </c>
      <c r="U122" s="47">
        <f>Transportes!G123</f>
        <v>200</v>
      </c>
    </row>
    <row r="123" spans="18:21">
      <c r="R123" t="str">
        <f>TRIM(MID(TRIM(Transportes!D124),1,FIND(CHAR(10),TRIM(Transportes!D124),1)-1))</f>
        <v>Áncash</v>
      </c>
      <c r="S123" t="str">
        <f>TRIM(IF(Transportes!F124="TRÁNSITO INTERRUMPIDO","Interrumpido",IF(Transportes!F124="TRÁNSITO RESTRINGIDO","Restringido","Normal")))</f>
        <v>Restringido</v>
      </c>
      <c r="T123" t="str">
        <f>TRIM(IF(MID(TRIM(Transportes!H124),1,FIND("-",TRIM(Transportes!H124),1)-2)="Acción humana","H","F"))</f>
        <v>F</v>
      </c>
      <c r="U123" s="47">
        <f>Transportes!G124</f>
        <v>20</v>
      </c>
    </row>
    <row r="124" spans="18:21">
      <c r="R124" t="str">
        <f>TRIM(MID(TRIM(Transportes!D125),1,FIND(CHAR(10),TRIM(Transportes!D125),1)-1))</f>
        <v>Pasco</v>
      </c>
      <c r="S124" t="str">
        <f>TRIM(IF(Transportes!F125="TRÁNSITO INTERRUMPIDO","Interrumpido",IF(Transportes!F125="TRÁNSITO RESTRINGIDO","Restringido","Normal")))</f>
        <v>Restringido</v>
      </c>
      <c r="T124" t="str">
        <f>TRIM(IF(MID(TRIM(Transportes!H125),1,FIND("-",TRIM(Transportes!H125),1)-2)="Acción humana","H","F"))</f>
        <v>F</v>
      </c>
      <c r="U124" s="47">
        <f>Transportes!G125</f>
        <v>50</v>
      </c>
    </row>
    <row r="125" spans="18:21">
      <c r="R125" t="str">
        <f>TRIM(MID(TRIM(Transportes!D126),1,FIND(CHAR(10),TRIM(Transportes!D126),1)-1))</f>
        <v>Cusco</v>
      </c>
      <c r="S125" t="str">
        <f>TRIM(IF(Transportes!F126="TRÁNSITO INTERRUMPIDO","Interrumpido",IF(Transportes!F126="TRÁNSITO RESTRINGIDO","Restringido","Normal")))</f>
        <v>Restringido</v>
      </c>
      <c r="T125" t="str">
        <f>TRIM(IF(MID(TRIM(Transportes!H126),1,FIND("-",TRIM(Transportes!H126),1)-2)="Acción humana","H","F"))</f>
        <v>F</v>
      </c>
      <c r="U125" s="47">
        <f>Transportes!G126</f>
        <v>30</v>
      </c>
    </row>
    <row r="126" spans="18:21">
      <c r="R126" t="str">
        <f>TRIM(MID(TRIM(Transportes!D127),1,FIND(CHAR(10),TRIM(Transportes!D127),1)-1))</f>
        <v>Cusco</v>
      </c>
      <c r="S126" t="str">
        <f>TRIM(IF(Transportes!F127="TRÁNSITO INTERRUMPIDO","Interrumpido",IF(Transportes!F127="TRÁNSITO RESTRINGIDO","Restringido","Normal")))</f>
        <v>Restringido</v>
      </c>
      <c r="T126" t="str">
        <f>TRIM(IF(MID(TRIM(Transportes!H127),1,FIND("-",TRIM(Transportes!H127),1)-2)="Acción humana","H","F"))</f>
        <v>F</v>
      </c>
      <c r="U126" s="47">
        <f>Transportes!G127</f>
        <v>30</v>
      </c>
    </row>
    <row r="127" spans="18:21">
      <c r="R127" t="str">
        <f>TRIM(MID(TRIM(Transportes!D128),1,FIND(CHAR(10),TRIM(Transportes!D128),1)-1))</f>
        <v>Cusco</v>
      </c>
      <c r="S127" t="str">
        <f>TRIM(IF(Transportes!F128="TRÁNSITO INTERRUMPIDO","Interrumpido",IF(Transportes!F128="TRÁNSITO RESTRINGIDO","Restringido","Normal")))</f>
        <v>Restringido</v>
      </c>
      <c r="T127" t="str">
        <f>TRIM(IF(MID(TRIM(Transportes!H128),1,FIND("-",TRIM(Transportes!H128),1)-2)="Acción humana","H","F"))</f>
        <v>F</v>
      </c>
      <c r="U127" s="47">
        <f>Transportes!G128</f>
        <v>50</v>
      </c>
    </row>
    <row r="128" spans="18:21">
      <c r="R128" t="str">
        <f>TRIM(MID(TRIM(Transportes!D129),1,FIND(CHAR(10),TRIM(Transportes!D129),1)-1))</f>
        <v>Cusco</v>
      </c>
      <c r="S128" t="str">
        <f>TRIM(IF(Transportes!F129="TRÁNSITO INTERRUMPIDO","Interrumpido",IF(Transportes!F129="TRÁNSITO RESTRINGIDO","Restringido","Normal")))</f>
        <v>Restringido</v>
      </c>
      <c r="T128" t="str">
        <f>TRIM(IF(MID(TRIM(Transportes!H129),1,FIND("-",TRIM(Transportes!H129),1)-2)="Acción humana","H","F"))</f>
        <v>F</v>
      </c>
      <c r="U128" s="47">
        <f>Transportes!G129</f>
        <v>30</v>
      </c>
    </row>
    <row r="129" spans="18:21">
      <c r="R129" t="str">
        <f>TRIM(MID(TRIM(Transportes!D130),1,FIND(CHAR(10),TRIM(Transportes!D130),1)-1))</f>
        <v>Ucayali</v>
      </c>
      <c r="S129" t="str">
        <f>TRIM(IF(Transportes!F130="TRÁNSITO INTERRUMPIDO","Interrumpido",IF(Transportes!F130="TRÁNSITO RESTRINGIDO","Restringido","Normal")))</f>
        <v>Restringido</v>
      </c>
      <c r="T129" t="str">
        <f>TRIM(IF(MID(TRIM(Transportes!H130),1,FIND("-",TRIM(Transportes!H130),1)-2)="Acción humana","H","F"))</f>
        <v>F</v>
      </c>
      <c r="U129" s="47" t="str">
        <f>Transportes!G130</f>
        <v>-</v>
      </c>
    </row>
    <row r="130" spans="18:21">
      <c r="R130" t="str">
        <f>TRIM(MID(TRIM(Transportes!D131),1,FIND(CHAR(10),TRIM(Transportes!D131),1)-1))</f>
        <v>Huánuco</v>
      </c>
      <c r="S130" t="str">
        <f>TRIM(IF(Transportes!F131="TRÁNSITO INTERRUMPIDO","Interrumpido",IF(Transportes!F131="TRÁNSITO RESTRINGIDO","Restringido","Normal")))</f>
        <v>Restringido</v>
      </c>
      <c r="T130" t="str">
        <f>TRIM(IF(MID(TRIM(Transportes!H131),1,FIND("-",TRIM(Transportes!H131),1)-2)="Acción humana","H","F"))</f>
        <v>F</v>
      </c>
      <c r="U130" s="47">
        <f>Transportes!G131</f>
        <v>100</v>
      </c>
    </row>
    <row r="131" spans="18:21">
      <c r="R131" t="str">
        <f>TRIM(MID(TRIM(Transportes!D132),1,FIND(CHAR(10),TRIM(Transportes!D132),1)-1))</f>
        <v>Junín</v>
      </c>
      <c r="S131" t="str">
        <f>TRIM(IF(Transportes!F132="TRÁNSITO INTERRUMPIDO","Interrumpido",IF(Transportes!F132="TRÁNSITO RESTRINGIDO","Restringido","Normal")))</f>
        <v>Restringido</v>
      </c>
      <c r="T131" t="str">
        <f>TRIM(IF(MID(TRIM(Transportes!H132),1,FIND("-",TRIM(Transportes!H132),1)-2)="Acción humana","H","F"))</f>
        <v>F</v>
      </c>
      <c r="U131" s="47" t="str">
        <f>Transportes!G132</f>
        <v>-</v>
      </c>
    </row>
    <row r="132" spans="18:21">
      <c r="R132" t="str">
        <f>TRIM(MID(TRIM(Transportes!D133),1,FIND(CHAR(10),TRIM(Transportes!D133),1)-1))</f>
        <v>Junín</v>
      </c>
      <c r="S132" t="str">
        <f>TRIM(IF(Transportes!F133="TRÁNSITO INTERRUMPIDO","Interrumpido",IF(Transportes!F133="TRÁNSITO RESTRINGIDO","Restringido","Normal")))</f>
        <v>Restringido</v>
      </c>
      <c r="T132" t="str">
        <f>TRIM(IF(MID(TRIM(Transportes!H133),1,FIND("-",TRIM(Transportes!H133),1)-2)="Acción humana","H","F"))</f>
        <v>F</v>
      </c>
      <c r="U132" s="47" t="str">
        <f>Transportes!G133</f>
        <v>-</v>
      </c>
    </row>
    <row r="133" spans="18:21">
      <c r="R133" t="str">
        <f>TRIM(MID(TRIM(Transportes!D134),1,FIND(CHAR(10),TRIM(Transportes!D134),1)-1))</f>
        <v>Piura</v>
      </c>
      <c r="S133" t="str">
        <f>TRIM(IF(Transportes!F134="TRÁNSITO INTERRUMPIDO","Interrumpido",IF(Transportes!F134="TRÁNSITO RESTRINGIDO","Restringido","Normal")))</f>
        <v>Restringido</v>
      </c>
      <c r="T133" t="str">
        <f>TRIM(IF(MID(TRIM(Transportes!H134),1,FIND("-",TRIM(Transportes!H134),1)-2)="Acción humana","H","F"))</f>
        <v>F</v>
      </c>
      <c r="U133" s="47">
        <f>Transportes!G134</f>
        <v>700</v>
      </c>
    </row>
    <row r="134" spans="18:21">
      <c r="R134" t="str">
        <f>TRIM(MID(TRIM(Transportes!D135),1,FIND(CHAR(10),TRIM(Transportes!D135),1)-1))</f>
        <v>Huánuco</v>
      </c>
      <c r="S134" t="str">
        <f>TRIM(IF(Transportes!F135="TRÁNSITO INTERRUMPIDO","Interrumpido",IF(Transportes!F135="TRÁNSITO RESTRINGIDO","Restringido","Normal")))</f>
        <v>Restringido</v>
      </c>
      <c r="T134" t="str">
        <f>TRIM(IF(MID(TRIM(Transportes!H135),1,FIND("-",TRIM(Transportes!H135),1)-2)="Acción humana","H","F"))</f>
        <v>F</v>
      </c>
      <c r="U134" s="47">
        <f>Transportes!G135</f>
        <v>15</v>
      </c>
    </row>
    <row r="135" spans="18:21">
      <c r="R135" t="str">
        <f>TRIM(MID(TRIM(Transportes!D136),1,FIND(CHAR(10),TRIM(Transportes!D136),1)-1))</f>
        <v>Huánuco</v>
      </c>
      <c r="S135" t="str">
        <f>TRIM(IF(Transportes!F136="TRÁNSITO INTERRUMPIDO","Interrumpido",IF(Transportes!F136="TRÁNSITO RESTRINGIDO","Restringido","Normal")))</f>
        <v>Restringido</v>
      </c>
      <c r="T135" t="str">
        <f>TRIM(IF(MID(TRIM(Transportes!H136),1,FIND("-",TRIM(Transportes!H136),1)-2)="Acción humana","H","F"))</f>
        <v>F</v>
      </c>
      <c r="U135" s="47">
        <f>Transportes!G136</f>
        <v>15</v>
      </c>
    </row>
    <row r="136" spans="18:21">
      <c r="R136" t="str">
        <f>TRIM(MID(TRIM(Transportes!D137),1,FIND(CHAR(10),TRIM(Transportes!D137),1)-1))</f>
        <v>Huánuco</v>
      </c>
      <c r="S136" t="str">
        <f>TRIM(IF(Transportes!F137="TRÁNSITO INTERRUMPIDO","Interrumpido",IF(Transportes!F137="TRÁNSITO RESTRINGIDO","Restringido","Normal")))</f>
        <v>Restringido</v>
      </c>
      <c r="T136" t="str">
        <f>TRIM(IF(MID(TRIM(Transportes!H137),1,FIND("-",TRIM(Transportes!H137),1)-2)="Acción humana","H","F"))</f>
        <v>F</v>
      </c>
      <c r="U136" s="47">
        <f>Transportes!G137</f>
        <v>15</v>
      </c>
    </row>
    <row r="137" spans="18:21">
      <c r="R137" t="str">
        <f>TRIM(MID(TRIM(Transportes!D138),1,FIND(CHAR(10),TRIM(Transportes!D138),1)-1))</f>
        <v>Huánuco</v>
      </c>
      <c r="S137" t="str">
        <f>TRIM(IF(Transportes!F138="TRÁNSITO INTERRUMPIDO","Interrumpido",IF(Transportes!F138="TRÁNSITO RESTRINGIDO","Restringido","Normal")))</f>
        <v>Restringido</v>
      </c>
      <c r="T137" t="str">
        <f>TRIM(IF(MID(TRIM(Transportes!H138),1,FIND("-",TRIM(Transportes!H138),1)-2)="Acción humana","H","F"))</f>
        <v>F</v>
      </c>
      <c r="U137" s="47">
        <f>Transportes!G138</f>
        <v>15</v>
      </c>
    </row>
    <row r="138" spans="18:21">
      <c r="R138" t="str">
        <f>TRIM(MID(TRIM(Transportes!D139),1,FIND(CHAR(10),TRIM(Transportes!D139),1)-1))</f>
        <v>Huánuco</v>
      </c>
      <c r="S138" t="str">
        <f>TRIM(IF(Transportes!F139="TRÁNSITO INTERRUMPIDO","Interrumpido",IF(Transportes!F139="TRÁNSITO RESTRINGIDO","Restringido","Normal")))</f>
        <v>Restringido</v>
      </c>
      <c r="T138" t="str">
        <f>TRIM(IF(MID(TRIM(Transportes!H139),1,FIND("-",TRIM(Transportes!H139),1)-2)="Acción humana","H","F"))</f>
        <v>F</v>
      </c>
      <c r="U138" s="47">
        <f>Transportes!G139</f>
        <v>15</v>
      </c>
    </row>
    <row r="139" spans="18:21">
      <c r="R139" t="str">
        <f>TRIM(MID(TRIM(Transportes!D140),1,FIND(CHAR(10),TRIM(Transportes!D140),1)-1))</f>
        <v>Junín</v>
      </c>
      <c r="S139" t="str">
        <f>TRIM(IF(Transportes!F140="TRÁNSITO INTERRUMPIDO","Interrumpido",IF(Transportes!F140="TRÁNSITO RESTRINGIDO","Restringido","Normal")))</f>
        <v>Restringido</v>
      </c>
      <c r="T139" t="str">
        <f>TRIM(IF(MID(TRIM(Transportes!H140),1,FIND("-",TRIM(Transportes!H140),1)-2)="Acción humana","H","F"))</f>
        <v>F</v>
      </c>
      <c r="U139" s="47">
        <f>Transportes!G140</f>
        <v>20</v>
      </c>
    </row>
    <row r="140" spans="18:21">
      <c r="R140" t="str">
        <f>TRIM(MID(TRIM(Transportes!D141),1,FIND(CHAR(10),TRIM(Transportes!D141),1)-1))</f>
        <v>Puno</v>
      </c>
      <c r="S140" t="str">
        <f>TRIM(IF(Transportes!F141="TRÁNSITO INTERRUMPIDO","Interrumpido",IF(Transportes!F141="TRÁNSITO RESTRINGIDO","Restringido","Normal")))</f>
        <v>Restringido</v>
      </c>
      <c r="T140" t="str">
        <f>TRIM(IF(MID(TRIM(Transportes!H141),1,FIND("-",TRIM(Transportes!H141),1)-2)="Acción humana","H","F"))</f>
        <v>F</v>
      </c>
      <c r="U140" s="47">
        <f>Transportes!G141</f>
        <v>30</v>
      </c>
    </row>
    <row r="141" spans="18:21">
      <c r="R141" t="str">
        <f>TRIM(MID(TRIM(Transportes!D142),1,FIND(CHAR(10),TRIM(Transportes!D142),1)-1))</f>
        <v>Piura</v>
      </c>
      <c r="S141" t="str">
        <f>TRIM(IF(Transportes!F142="TRÁNSITO INTERRUMPIDO","Interrumpido",IF(Transportes!F142="TRÁNSITO RESTRINGIDO","Restringido","Normal")))</f>
        <v>Restringido</v>
      </c>
      <c r="T141" t="str">
        <f>TRIM(IF(MID(TRIM(Transportes!H142),1,FIND("-",TRIM(Transportes!H142),1)-2)="Acción humana","H","F"))</f>
        <v>H</v>
      </c>
      <c r="U141" s="47" t="str">
        <f>Transportes!G142</f>
        <v>-</v>
      </c>
    </row>
    <row r="142" spans="18:21">
      <c r="R142" t="str">
        <f>TRIM(MID(TRIM(Transportes!D143),1,FIND(CHAR(10),TRIM(Transportes!D143),1)-1))</f>
        <v>Piura</v>
      </c>
      <c r="S142" t="str">
        <f>TRIM(IF(Transportes!F143="TRÁNSITO INTERRUMPIDO","Interrumpido",IF(Transportes!F143="TRÁNSITO RESTRINGIDO","Restringido","Normal")))</f>
        <v>Restringido</v>
      </c>
      <c r="T142" t="str">
        <f>TRIM(IF(MID(TRIM(Transportes!H143),1,FIND("-",TRIM(Transportes!H143),1)-2)="Acción humana","H","F"))</f>
        <v>H</v>
      </c>
      <c r="U142" s="47">
        <f>Transportes!G143</f>
        <v>150</v>
      </c>
    </row>
    <row r="143" spans="18:21">
      <c r="R143" t="str">
        <f>TRIM(MID(TRIM(Transportes!D144),1,FIND(CHAR(10),TRIM(Transportes!D144),1)-1))</f>
        <v>Loreto</v>
      </c>
      <c r="S143" t="str">
        <f>TRIM(IF(Transportes!F144="TRÁNSITO INTERRUMPIDO","Interrumpido",IF(Transportes!F144="TRÁNSITO RESTRINGIDO","Restringido","Normal")))</f>
        <v>Restringido</v>
      </c>
      <c r="T143" t="str">
        <f>TRIM(IF(MID(TRIM(Transportes!H144),1,FIND("-",TRIM(Transportes!H144),1)-2)="Acción humana","H","F"))</f>
        <v>H</v>
      </c>
      <c r="U143" s="47">
        <f>Transportes!G144</f>
        <v>230</v>
      </c>
    </row>
    <row r="144" spans="18:21">
      <c r="R144" t="str">
        <f>TRIM(MID(TRIM(Transportes!D145),1,FIND(CHAR(10),TRIM(Transportes!D145),1)-1))</f>
        <v>San Martín</v>
      </c>
      <c r="S144" t="str">
        <f>TRIM(IF(Transportes!F145="TRÁNSITO INTERRUMPIDO","Interrumpido",IF(Transportes!F145="TRÁNSITO RESTRINGIDO","Restringido","Normal")))</f>
        <v>Restringido</v>
      </c>
      <c r="T144" t="str">
        <f>TRIM(IF(MID(TRIM(Transportes!H145),1,FIND("-",TRIM(Transportes!H145),1)-2)="Acción humana","H","F"))</f>
        <v>F</v>
      </c>
      <c r="U144" s="47">
        <f>Transportes!G145</f>
        <v>90</v>
      </c>
    </row>
    <row r="145" spans="18:21">
      <c r="R145" t="str">
        <f>TRIM(MID(TRIM(Transportes!D146),1,FIND(CHAR(10),TRIM(Transportes!D146),1)-1))</f>
        <v>Huánuco</v>
      </c>
      <c r="S145" t="str">
        <f>TRIM(IF(Transportes!F146="TRÁNSITO INTERRUMPIDO","Interrumpido",IF(Transportes!F146="TRÁNSITO RESTRINGIDO","Restringido","Normal")))</f>
        <v>Restringido</v>
      </c>
      <c r="T145" t="str">
        <f>TRIM(IF(MID(TRIM(Transportes!H146),1,FIND("-",TRIM(Transportes!H146),1)-2)="Acción humana","H","F"))</f>
        <v>F</v>
      </c>
      <c r="U145" s="47">
        <f>Transportes!G146</f>
        <v>100</v>
      </c>
    </row>
    <row r="146" spans="18:21">
      <c r="R146" t="str">
        <f>TRIM(MID(TRIM(Transportes!D147),1,FIND(CHAR(10),TRIM(Transportes!D147),1)-1))</f>
        <v>Apurímac</v>
      </c>
      <c r="S146" t="str">
        <f>TRIM(IF(Transportes!F147="TRÁNSITO INTERRUMPIDO","Interrumpido",IF(Transportes!F147="TRÁNSITO RESTRINGIDO","Restringido","Normal")))</f>
        <v>Restringido</v>
      </c>
      <c r="T146" t="str">
        <f>TRIM(IF(MID(TRIM(Transportes!H147),1,FIND("-",TRIM(Transportes!H147),1)-2)="Acción humana","H","F"))</f>
        <v>F</v>
      </c>
      <c r="U146" s="47">
        <f>Transportes!G147</f>
        <v>335</v>
      </c>
    </row>
    <row r="147" spans="18:21">
      <c r="R147" t="str">
        <f>TRIM(MID(TRIM(Transportes!D148),1,FIND(CHAR(10),TRIM(Transportes!D148),1)-1))</f>
        <v>La Libertad</v>
      </c>
      <c r="S147" t="str">
        <f>TRIM(IF(Transportes!F148="TRÁNSITO INTERRUMPIDO","Interrumpido",IF(Transportes!F148="TRÁNSITO RESTRINGIDO","Restringido","Normal")))</f>
        <v>Restringido</v>
      </c>
      <c r="T147" t="str">
        <f>TRIM(IF(MID(TRIM(Transportes!H148),1,FIND("-",TRIM(Transportes!H148),1)-2)="Acción humana","H","F"))</f>
        <v>F</v>
      </c>
      <c r="U147" s="47">
        <f>Transportes!G148</f>
        <v>40</v>
      </c>
    </row>
    <row r="148" spans="18:21">
      <c r="R148" t="str">
        <f>TRIM(MID(TRIM(Transportes!D149),1,FIND(CHAR(10),TRIM(Transportes!D149),1)-1))</f>
        <v>La Libertad</v>
      </c>
      <c r="S148" t="str">
        <f>TRIM(IF(Transportes!F149="TRÁNSITO INTERRUMPIDO","Interrumpido",IF(Transportes!F149="TRÁNSITO RESTRINGIDO","Restringido","Normal")))</f>
        <v>Restringido</v>
      </c>
      <c r="T148" t="str">
        <f>TRIM(IF(MID(TRIM(Transportes!H149),1,FIND("-",TRIM(Transportes!H149),1)-2)="Acción humana","H","F"))</f>
        <v>F</v>
      </c>
      <c r="U148" s="47">
        <f>Transportes!G149</f>
        <v>40</v>
      </c>
    </row>
    <row r="149" spans="18:21">
      <c r="R149" t="str">
        <f>TRIM(MID(TRIM(Transportes!D150),1,FIND(CHAR(10),TRIM(Transportes!D150),1)-1))</f>
        <v>Pasco</v>
      </c>
      <c r="S149" t="str">
        <f>TRIM(IF(Transportes!F150="TRÁNSITO INTERRUMPIDO","Interrumpido",IF(Transportes!F150="TRÁNSITO RESTRINGIDO","Restringido","Normal")))</f>
        <v>Restringido</v>
      </c>
      <c r="T149" t="str">
        <f>TRIM(IF(MID(TRIM(Transportes!H150),1,FIND("-",TRIM(Transportes!H150),1)-2)="Acción humana","H","F"))</f>
        <v>F</v>
      </c>
      <c r="U149" s="47">
        <f>Transportes!G150</f>
        <v>45</v>
      </c>
    </row>
    <row r="150" spans="18:21">
      <c r="R150" t="str">
        <f>TRIM(MID(TRIM(Transportes!D151),1,FIND(CHAR(10),TRIM(Transportes!D151),1)-1))</f>
        <v>Pasco</v>
      </c>
      <c r="S150" t="str">
        <f>TRIM(IF(Transportes!F151="TRÁNSITO INTERRUMPIDO","Interrumpido",IF(Transportes!F151="TRÁNSITO RESTRINGIDO","Restringido","Normal")))</f>
        <v>Restringido</v>
      </c>
      <c r="T150" t="str">
        <f>TRIM(IF(MID(TRIM(Transportes!H151),1,FIND("-",TRIM(Transportes!H151),1)-2)="Acción humana","H","F"))</f>
        <v>F</v>
      </c>
      <c r="U150" s="47">
        <f>Transportes!G151</f>
        <v>25</v>
      </c>
    </row>
    <row r="151" spans="18:21">
      <c r="R151" t="str">
        <f>TRIM(MID(TRIM(Transportes!D152),1,FIND(CHAR(10),TRIM(Transportes!D152),1)-1))</f>
        <v>Cajamarca</v>
      </c>
      <c r="S151" t="str">
        <f>TRIM(IF(Transportes!F152="TRÁNSITO INTERRUMPIDO","Interrumpido",IF(Transportes!F152="TRÁNSITO RESTRINGIDO","Restringido","Normal")))</f>
        <v>Restringido</v>
      </c>
      <c r="T151" t="str">
        <f>TRIM(IF(MID(TRIM(Transportes!H152),1,FIND("-",TRIM(Transportes!H152),1)-2)="Acción humana","H","F"))</f>
        <v>F</v>
      </c>
      <c r="U151" s="47" t="str">
        <f>Transportes!G152</f>
        <v>-</v>
      </c>
    </row>
    <row r="152" spans="18:21">
      <c r="R152" t="str">
        <f>TRIM(MID(TRIM(Transportes!D153),1,FIND(CHAR(10),TRIM(Transportes!D153),1)-1))</f>
        <v>Junín</v>
      </c>
      <c r="S152" t="str">
        <f>TRIM(IF(Transportes!F153="TRÁNSITO INTERRUMPIDO","Interrumpido",IF(Transportes!F153="TRÁNSITO RESTRINGIDO","Restringido","Normal")))</f>
        <v>Restringido</v>
      </c>
      <c r="T152" t="str">
        <f>TRIM(IF(MID(TRIM(Transportes!H153),1,FIND("-",TRIM(Transportes!H153),1)-2)="Acción humana","H","F"))</f>
        <v>F</v>
      </c>
      <c r="U152" s="47">
        <f>Transportes!G153</f>
        <v>40</v>
      </c>
    </row>
    <row r="153" spans="18:21">
      <c r="R153" t="str">
        <f>TRIM(MID(TRIM(Transportes!D154),1,FIND(CHAR(10),TRIM(Transportes!D154),1)-1))</f>
        <v>Piura</v>
      </c>
      <c r="S153" t="str">
        <f>TRIM(IF(Transportes!F154="TRÁNSITO INTERRUMPIDO","Interrumpido",IF(Transportes!F154="TRÁNSITO RESTRINGIDO","Restringido","Normal")))</f>
        <v>Restringido</v>
      </c>
      <c r="T153" t="str">
        <f>TRIM(IF(MID(TRIM(Transportes!H154),1,FIND("-",TRIM(Transportes!H154),1)-2)="Acción humana","H","F"))</f>
        <v>F</v>
      </c>
      <c r="U153" s="47">
        <f>Transportes!G154</f>
        <v>100</v>
      </c>
    </row>
    <row r="154" spans="18:21">
      <c r="R154" t="str">
        <f>TRIM(MID(TRIM(Transportes!D155),1,FIND(CHAR(10),TRIM(Transportes!D155),1)-1))</f>
        <v>Piura</v>
      </c>
      <c r="S154" t="str">
        <f>TRIM(IF(Transportes!F155="TRÁNSITO INTERRUMPIDO","Interrumpido",IF(Transportes!F155="TRÁNSITO RESTRINGIDO","Restringido","Normal")))</f>
        <v>Restringido</v>
      </c>
      <c r="T154" t="str">
        <f>TRIM(IF(MID(TRIM(Transportes!H155),1,FIND("-",TRIM(Transportes!H155),1)-2)="Acción humana","H","F"))</f>
        <v>F</v>
      </c>
      <c r="U154" s="47" t="str">
        <f>Transportes!G155</f>
        <v>-</v>
      </c>
    </row>
    <row r="155" spans="18:21">
      <c r="R155" t="str">
        <f>TRIM(MID(TRIM(Transportes!D156),1,FIND(CHAR(10),TRIM(Transportes!D156),1)-1))</f>
        <v>Piura</v>
      </c>
      <c r="S155" t="str">
        <f>TRIM(IF(Transportes!F156="TRÁNSITO INTERRUMPIDO","Interrumpido",IF(Transportes!F156="TRÁNSITO RESTRINGIDO","Restringido","Normal")))</f>
        <v>Restringido</v>
      </c>
      <c r="T155" t="str">
        <f>TRIM(IF(MID(TRIM(Transportes!H156),1,FIND("-",TRIM(Transportes!H156),1)-2)="Acción humana","H","F"))</f>
        <v>F</v>
      </c>
      <c r="U155" s="47">
        <f>Transportes!G156</f>
        <v>50</v>
      </c>
    </row>
    <row r="156" spans="18:21">
      <c r="R156" t="str">
        <f>TRIM(MID(TRIM(Transportes!D157),1,FIND(CHAR(10),TRIM(Transportes!D157),1)-1))</f>
        <v>Piura</v>
      </c>
      <c r="S156" t="str">
        <f>TRIM(IF(Transportes!F157="TRÁNSITO INTERRUMPIDO","Interrumpido",IF(Transportes!F157="TRÁNSITO RESTRINGIDO","Restringido","Normal")))</f>
        <v>Restringido</v>
      </c>
      <c r="T156" t="str">
        <f>TRIM(IF(MID(TRIM(Transportes!H157),1,FIND("-",TRIM(Transportes!H157),1)-2)="Acción humana","H","F"))</f>
        <v>F</v>
      </c>
      <c r="U156" s="47">
        <f>Transportes!G157</f>
        <v>50</v>
      </c>
    </row>
    <row r="157" spans="18:21">
      <c r="R157" t="str">
        <f>TRIM(MID(TRIM(Transportes!D158),1,FIND(CHAR(10),TRIM(Transportes!D158),1)-1))</f>
        <v>Amazonas</v>
      </c>
      <c r="S157" t="str">
        <f>TRIM(IF(Transportes!F158="TRÁNSITO INTERRUMPIDO","Interrumpido",IF(Transportes!F158="TRÁNSITO RESTRINGIDO","Restringido","Normal")))</f>
        <v>Restringido</v>
      </c>
      <c r="T157" t="str">
        <f>TRIM(IF(MID(TRIM(Transportes!H158),1,FIND("-",TRIM(Transportes!H158),1)-2)="Acción humana","H","F"))</f>
        <v>F</v>
      </c>
      <c r="U157" s="47">
        <f>Transportes!G158</f>
        <v>100</v>
      </c>
    </row>
    <row r="158" spans="18:21">
      <c r="R158" t="str">
        <f>TRIM(MID(TRIM(Transportes!D159),1,FIND(CHAR(10),TRIM(Transportes!D159),1)-1))</f>
        <v>Moquegua</v>
      </c>
      <c r="S158" t="str">
        <f>TRIM(IF(Transportes!F159="TRÁNSITO INTERRUMPIDO","Interrumpido",IF(Transportes!F159="TRÁNSITO RESTRINGIDO","Restringido","Normal")))</f>
        <v>Restringido</v>
      </c>
      <c r="T158" t="str">
        <f>TRIM(IF(MID(TRIM(Transportes!H159),1,FIND("-",TRIM(Transportes!H159),1)-2)="Acción humana","H","F"))</f>
        <v>F</v>
      </c>
      <c r="U158" s="47">
        <f>Transportes!G159</f>
        <v>50</v>
      </c>
    </row>
    <row r="159" spans="18:21">
      <c r="R159" t="str">
        <f>TRIM(MID(TRIM(Transportes!D160),1,FIND(CHAR(10),TRIM(Transportes!D160),1)-1))</f>
        <v>La Libertad</v>
      </c>
      <c r="S159" t="str">
        <f>TRIM(IF(Transportes!F160="TRÁNSITO INTERRUMPIDO","Interrumpido",IF(Transportes!F160="TRÁNSITO RESTRINGIDO","Restringido","Normal")))</f>
        <v>Restringido</v>
      </c>
      <c r="T159" t="str">
        <f>TRIM(IF(MID(TRIM(Transportes!H160),1,FIND("-",TRIM(Transportes!H160),1)-2)="Acción humana","H","F"))</f>
        <v>F</v>
      </c>
      <c r="U159" s="47">
        <f>Transportes!G160</f>
        <v>30</v>
      </c>
    </row>
    <row r="160" spans="18:21">
      <c r="R160" t="str">
        <f>TRIM(MID(TRIM(Transportes!D161),1,FIND(CHAR(10),TRIM(Transportes!D161),1)-1))</f>
        <v>Arequipa</v>
      </c>
      <c r="S160" t="str">
        <f>TRIM(IF(Transportes!F161="TRÁNSITO INTERRUMPIDO","Interrumpido",IF(Transportes!F161="TRÁNSITO RESTRINGIDO","Restringido","Normal")))</f>
        <v>Restringido</v>
      </c>
      <c r="T160" t="str">
        <f>TRIM(IF(MID(TRIM(Transportes!H161),1,FIND("-",TRIM(Transportes!H161),1)-2)="Acción humana","H","F"))</f>
        <v>H</v>
      </c>
      <c r="U160" s="47">
        <f>Transportes!G161</f>
        <v>200</v>
      </c>
    </row>
    <row r="161" spans="18:21">
      <c r="R161" t="str">
        <f>TRIM(MID(TRIM(Transportes!D162),1,FIND(CHAR(10),TRIM(Transportes!D162),1)-1))</f>
        <v>Piura</v>
      </c>
      <c r="S161" t="str">
        <f>TRIM(IF(Transportes!F162="TRÁNSITO INTERRUMPIDO","Interrumpido",IF(Transportes!F162="TRÁNSITO RESTRINGIDO","Restringido","Normal")))</f>
        <v>Restringido</v>
      </c>
      <c r="T161" t="str">
        <f>TRIM(IF(MID(TRIM(Transportes!H162),1,FIND("-",TRIM(Transportes!H162),1)-2)="Acción humana","H","F"))</f>
        <v>F</v>
      </c>
      <c r="U161" s="47">
        <f>Transportes!G162</f>
        <v>30</v>
      </c>
    </row>
    <row r="162" spans="18:21">
      <c r="R162" t="str">
        <f>TRIM(MID(TRIM(Transportes!D163),1,FIND(CHAR(10),TRIM(Transportes!D163),1)-1))</f>
        <v>San Martín</v>
      </c>
      <c r="S162" t="str">
        <f>TRIM(IF(Transportes!F163="TRÁNSITO INTERRUMPIDO","Interrumpido",IF(Transportes!F163="TRÁNSITO RESTRINGIDO","Restringido","Normal")))</f>
        <v>Restringido</v>
      </c>
      <c r="T162" t="str">
        <f>TRIM(IF(MID(TRIM(Transportes!H163),1,FIND("-",TRIM(Transportes!H163),1)-2)="Acción humana","H","F"))</f>
        <v>F</v>
      </c>
      <c r="U162" s="47">
        <f>Transportes!G163</f>
        <v>200</v>
      </c>
    </row>
    <row r="163" spans="18:21">
      <c r="R163" t="str">
        <f>TRIM(MID(TRIM(Transportes!D164),1,FIND(CHAR(10),TRIM(Transportes!D164),1)-1))</f>
        <v>Lambayeque</v>
      </c>
      <c r="S163" t="str">
        <f>TRIM(IF(Transportes!F164="TRÁNSITO INTERRUMPIDO","Interrumpido",IF(Transportes!F164="TRÁNSITO RESTRINGIDO","Restringido","Normal")))</f>
        <v>Restringido</v>
      </c>
      <c r="T163" t="str">
        <f>TRIM(IF(MID(TRIM(Transportes!H164),1,FIND("-",TRIM(Transportes!H164),1)-2)="Acción humana","H","F"))</f>
        <v>F</v>
      </c>
      <c r="U163" s="47">
        <f>Transportes!G164</f>
        <v>20</v>
      </c>
    </row>
    <row r="164" spans="18:21">
      <c r="R164" t="str">
        <f>TRIM(MID(TRIM(Transportes!D165),1,FIND(CHAR(10),TRIM(Transportes!D165),1)-1))</f>
        <v>Amazonas</v>
      </c>
      <c r="S164" t="str">
        <f>TRIM(IF(Transportes!F165="TRÁNSITO INTERRUMPIDO","Interrumpido",IF(Transportes!F165="TRÁNSITO RESTRINGIDO","Restringido","Normal")))</f>
        <v>Restringido</v>
      </c>
      <c r="T164" t="str">
        <f>TRIM(IF(MID(TRIM(Transportes!H165),1,FIND("-",TRIM(Transportes!H165),1)-2)="Acción humana","H","F"))</f>
        <v>F</v>
      </c>
      <c r="U164" s="47">
        <f>Transportes!G165</f>
        <v>45</v>
      </c>
    </row>
    <row r="165" spans="18:21">
      <c r="R165" t="str">
        <f>TRIM(MID(TRIM(Transportes!D166),1,FIND(CHAR(10),TRIM(Transportes!D166),1)-1))</f>
        <v>Amazonas</v>
      </c>
      <c r="S165" t="str">
        <f>TRIM(IF(Transportes!F166="TRÁNSITO INTERRUMPIDO","Interrumpido",IF(Transportes!F166="TRÁNSITO RESTRINGIDO","Restringido","Normal")))</f>
        <v>Restringido</v>
      </c>
      <c r="T165" t="str">
        <f>TRIM(IF(MID(TRIM(Transportes!H166),1,FIND("-",TRIM(Transportes!H166),1)-2)="Acción humana","H","F"))</f>
        <v>F</v>
      </c>
      <c r="U165" s="47" t="str">
        <f>Transportes!G166</f>
        <v>-</v>
      </c>
    </row>
    <row r="166" spans="18:21">
      <c r="R166" t="str">
        <f>TRIM(MID(TRIM(Transportes!D167),1,FIND(CHAR(10),TRIM(Transportes!D167),1)-1))</f>
        <v>Amazonas</v>
      </c>
      <c r="S166" t="str">
        <f>TRIM(IF(Transportes!F167="TRÁNSITO INTERRUMPIDO","Interrumpido",IF(Transportes!F167="TRÁNSITO RESTRINGIDO","Restringido","Normal")))</f>
        <v>Restringido</v>
      </c>
      <c r="T166" t="str">
        <f>TRIM(IF(MID(TRIM(Transportes!H167),1,FIND("-",TRIM(Transportes!H167),1)-2)="Acción humana","H","F"))</f>
        <v>F</v>
      </c>
      <c r="U166" s="47">
        <f>Transportes!G167</f>
        <v>15</v>
      </c>
    </row>
    <row r="167" spans="18:21">
      <c r="R167" t="str">
        <f>TRIM(MID(TRIM(Transportes!D168),1,FIND(CHAR(10),TRIM(Transportes!D168),1)-1))</f>
        <v>Moquegua</v>
      </c>
      <c r="S167" t="str">
        <f>TRIM(IF(Transportes!F168="TRÁNSITO INTERRUMPIDO","Interrumpido",IF(Transportes!F168="TRÁNSITO RESTRINGIDO","Restringido","Normal")))</f>
        <v>Restringido</v>
      </c>
      <c r="T167" t="str">
        <f>TRIM(IF(MID(TRIM(Transportes!H168),1,FIND("-",TRIM(Transportes!H168),1)-2)="Acción humana","H","F"))</f>
        <v>F</v>
      </c>
      <c r="U167" s="47">
        <f>Transportes!G168</f>
        <v>40</v>
      </c>
    </row>
    <row r="168" spans="18:21">
      <c r="R168" t="str">
        <f>TRIM(MID(TRIM(Transportes!D169),1,FIND(CHAR(10),TRIM(Transportes!D169),1)-1))</f>
        <v>Moquegua</v>
      </c>
      <c r="S168" t="str">
        <f>TRIM(IF(Transportes!F169="TRÁNSITO INTERRUMPIDO","Interrumpido",IF(Transportes!F169="TRÁNSITO RESTRINGIDO","Restringido","Normal")))</f>
        <v>Restringido</v>
      </c>
      <c r="T168" t="str">
        <f>TRIM(IF(MID(TRIM(Transportes!H169),1,FIND("-",TRIM(Transportes!H169),1)-2)="Acción humana","H","F"))</f>
        <v>F</v>
      </c>
      <c r="U168" s="47">
        <f>Transportes!G169</f>
        <v>63</v>
      </c>
    </row>
    <row r="169" spans="18:21">
      <c r="R169" t="str">
        <f>TRIM(MID(TRIM(Transportes!D170),1,FIND(CHAR(10),TRIM(Transportes!D170),1)-1))</f>
        <v>La Libertad</v>
      </c>
      <c r="S169" t="str">
        <f>TRIM(IF(Transportes!F170="TRÁNSITO INTERRUMPIDO","Interrumpido",IF(Transportes!F170="TRÁNSITO RESTRINGIDO","Restringido","Normal")))</f>
        <v>Restringido</v>
      </c>
      <c r="T169" t="str">
        <f>TRIM(IF(MID(TRIM(Transportes!H170),1,FIND("-",TRIM(Transportes!H170),1)-2)="Acción humana","H","F"))</f>
        <v>H</v>
      </c>
      <c r="U169" s="47" t="str">
        <f>Transportes!G170</f>
        <v>-</v>
      </c>
    </row>
    <row r="170" spans="18:21">
      <c r="R170" t="str">
        <f>TRIM(MID(TRIM(Transportes!D171),1,FIND(CHAR(10),TRIM(Transportes!D171),1)-1))</f>
        <v>Puno</v>
      </c>
      <c r="S170" t="str">
        <f>TRIM(IF(Transportes!F171="TRÁNSITO INTERRUMPIDO","Interrumpido",IF(Transportes!F171="TRÁNSITO RESTRINGIDO","Restringido","Normal")))</f>
        <v>Restringido</v>
      </c>
      <c r="T170" t="str">
        <f>TRIM(IF(MID(TRIM(Transportes!H171),1,FIND("-",TRIM(Transportes!H171),1)-2)="Acción humana","H","F"))</f>
        <v>F</v>
      </c>
      <c r="U170" s="47">
        <f>Transportes!G171</f>
        <v>60</v>
      </c>
    </row>
    <row r="171" spans="18:21">
      <c r="R171" t="str">
        <f>TRIM(MID(TRIM(Transportes!D172),1,FIND(CHAR(10),TRIM(Transportes!D172),1)-1))</f>
        <v>Junín</v>
      </c>
      <c r="S171" t="str">
        <f>TRIM(IF(Transportes!F172="TRÁNSITO INTERRUMPIDO","Interrumpido",IF(Transportes!F172="TRÁNSITO RESTRINGIDO","Restringido","Normal")))</f>
        <v>Normal</v>
      </c>
      <c r="T171" t="str">
        <f>TRIM(IF(MID(TRIM(Transportes!H172),1,FIND("-",TRIM(Transportes!H172),1)-2)="Acción humana","H","F"))</f>
        <v>H</v>
      </c>
      <c r="U171" s="47" t="str">
        <f>Transportes!G172</f>
        <v>-</v>
      </c>
    </row>
    <row r="172" spans="18:21">
      <c r="R172" t="str">
        <f>TRIM(MID(TRIM(Transportes!D173),1,FIND(CHAR(10),TRIM(Transportes!D173),1)-1))</f>
        <v>Áncash</v>
      </c>
      <c r="S172" t="str">
        <f>TRIM(IF(Transportes!F173="TRÁNSITO INTERRUMPIDO","Interrumpido",IF(Transportes!F173="TRÁNSITO RESTRINGIDO","Restringido","Normal")))</f>
        <v>Normal</v>
      </c>
      <c r="T172" t="str">
        <f>TRIM(IF(MID(TRIM(Transportes!H173),1,FIND("-",TRIM(Transportes!H173),1)-2)="Acción humana","H","F"))</f>
        <v>F</v>
      </c>
      <c r="U172" s="47">
        <f>Transportes!G173</f>
        <v>970</v>
      </c>
    </row>
    <row r="173" spans="18:21">
      <c r="R173" t="str">
        <f>TRIM(MID(TRIM(Transportes!D174),1,FIND(CHAR(10),TRIM(Transportes!D174),1)-1))</f>
        <v>Huancavelica</v>
      </c>
      <c r="S173" t="str">
        <f>TRIM(IF(Transportes!F174="TRÁNSITO INTERRUMPIDO","Interrumpido",IF(Transportes!F174="TRÁNSITO RESTRINGIDO","Restringido","Normal")))</f>
        <v>Normal</v>
      </c>
      <c r="T173" t="str">
        <f>TRIM(IF(MID(TRIM(Transportes!H174),1,FIND("-",TRIM(Transportes!H174),1)-2)="Acción humana","H","F"))</f>
        <v>F</v>
      </c>
      <c r="U173" s="47" t="str">
        <f>Transportes!G174</f>
        <v>-</v>
      </c>
    </row>
    <row r="174" spans="18:21">
      <c r="R174" t="str">
        <f>TRIM(MID(TRIM(Transportes!D175),1,FIND(CHAR(10),TRIM(Transportes!D175),1)-1))</f>
        <v>Huancavelica</v>
      </c>
      <c r="S174" t="str">
        <f>TRIM(IF(Transportes!F175="TRÁNSITO INTERRUMPIDO","Interrumpido",IF(Transportes!F175="TRÁNSITO RESTRINGIDO","Restringido","Normal")))</f>
        <v>Normal</v>
      </c>
      <c r="T174" t="str">
        <f>TRIM(IF(MID(TRIM(Transportes!H175),1,FIND("-",TRIM(Transportes!H175),1)-2)="Acción humana","H","F"))</f>
        <v>F</v>
      </c>
      <c r="U174" s="47" t="str">
        <f>Transportes!G175</f>
        <v>-</v>
      </c>
    </row>
    <row r="175" spans="18:21">
      <c r="R175" t="str">
        <f>TRIM(MID(TRIM(Transportes!D176),1,FIND(CHAR(10),TRIM(Transportes!D176),1)-1))</f>
        <v>Junín</v>
      </c>
      <c r="S175" t="str">
        <f>TRIM(IF(Transportes!F176="TRÁNSITO INTERRUMPIDO","Interrumpido",IF(Transportes!F176="TRÁNSITO RESTRINGIDO","Restringido","Normal")))</f>
        <v>Normal</v>
      </c>
      <c r="T175" t="str">
        <f>TRIM(IF(MID(TRIM(Transportes!H176),1,FIND("-",TRIM(Transportes!H176),1)-2)="Acción humana","H","F"))</f>
        <v>F</v>
      </c>
      <c r="U175" s="47" t="str">
        <f>Transportes!G176</f>
        <v>-</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47">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47">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47">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47">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47">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47">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47">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47">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47">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47">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47">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47">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47">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47">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47">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47">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47">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47">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47">
        <f>Transportes!G438</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4"/>
  <sheetViews>
    <sheetView showGridLines="0" topLeftCell="A4" zoomScale="112" zoomScaleNormal="112" zoomScaleSheetLayoutView="100" workbookViewId="0">
      <selection activeCell="H8" sqref="H8"/>
    </sheetView>
  </sheetViews>
  <sheetFormatPr baseColWidth="10" defaultColWidth="11" defaultRowHeight="14.25"/>
  <cols>
    <col min="1" max="1" width="4.875" style="56" customWidth="1"/>
    <col min="2" max="2" width="12.5" style="213" bestFit="1" customWidth="1"/>
    <col min="3" max="3" width="9.875" bestFit="1" customWidth="1"/>
    <col min="4" max="4" width="20.5" bestFit="1" customWidth="1"/>
    <col min="5" max="5" width="31" style="49" customWidth="1"/>
    <col min="6" max="6" width="14" style="49" customWidth="1"/>
    <col min="7" max="7" width="8.75" style="47" hidden="1" customWidth="1"/>
    <col min="8" max="8" width="71.125" customWidth="1"/>
    <col min="9" max="9" width="20.75" bestFit="1" customWidth="1"/>
    <col min="10" max="10" width="26.625" customWidth="1"/>
    <col min="11" max="11" width="10.125" style="212" bestFit="1" customWidth="1"/>
    <col min="12" max="12" width="12" style="93" customWidth="1"/>
    <col min="13" max="13" width="12.625" style="94" customWidth="1"/>
  </cols>
  <sheetData>
    <row r="1" spans="1:13" ht="35.25" customHeight="1">
      <c r="B1" s="99"/>
      <c r="D1" s="259" t="s">
        <v>107</v>
      </c>
      <c r="E1" s="259"/>
      <c r="F1" s="259"/>
      <c r="G1" s="259"/>
      <c r="H1" s="259"/>
      <c r="I1" s="259"/>
      <c r="J1" s="259"/>
      <c r="K1" s="259"/>
    </row>
    <row r="2" spans="1:13" ht="31.5" customHeight="1">
      <c r="A2" s="59"/>
      <c r="B2" s="100"/>
      <c r="C2" s="42" t="s">
        <v>0</v>
      </c>
      <c r="D2" s="260" t="s">
        <v>1</v>
      </c>
      <c r="E2" s="260"/>
      <c r="F2" s="260"/>
      <c r="G2" s="260"/>
      <c r="H2" s="260"/>
      <c r="I2" s="260"/>
      <c r="J2" s="260"/>
      <c r="K2" s="260"/>
      <c r="L2" s="95"/>
    </row>
    <row r="3" spans="1:13" ht="26.25">
      <c r="A3" s="59"/>
      <c r="B3" s="101" t="s">
        <v>14</v>
      </c>
      <c r="C3" s="41" t="s">
        <v>747</v>
      </c>
      <c r="D3" s="43"/>
      <c r="E3" s="13"/>
      <c r="F3" s="13"/>
      <c r="G3" s="44"/>
      <c r="H3" s="45"/>
      <c r="I3" s="46"/>
      <c r="J3" s="45"/>
      <c r="K3" s="106"/>
      <c r="L3" s="96"/>
    </row>
    <row r="4" spans="1:13" ht="39.75" customHeight="1">
      <c r="A4" s="122" t="s">
        <v>373</v>
      </c>
      <c r="B4" s="122" t="s">
        <v>3</v>
      </c>
      <c r="C4" s="122" t="s">
        <v>17</v>
      </c>
      <c r="D4" s="122" t="s">
        <v>4</v>
      </c>
      <c r="E4" s="224" t="s">
        <v>5</v>
      </c>
      <c r="F4" s="122" t="s">
        <v>7</v>
      </c>
      <c r="G4" s="123" t="s">
        <v>78</v>
      </c>
      <c r="H4" s="122" t="s">
        <v>22</v>
      </c>
      <c r="I4" s="122" t="s">
        <v>132</v>
      </c>
      <c r="J4" s="122" t="s">
        <v>74</v>
      </c>
      <c r="K4" s="122" t="s">
        <v>9</v>
      </c>
      <c r="L4" s="124" t="s">
        <v>10</v>
      </c>
      <c r="M4" s="125" t="s">
        <v>11</v>
      </c>
    </row>
    <row r="5" spans="1:13" s="275" customFormat="1" ht="118.5" customHeight="1">
      <c r="A5" s="225">
        <v>172</v>
      </c>
      <c r="B5" s="276" t="s">
        <v>914</v>
      </c>
      <c r="C5" s="113">
        <v>46070</v>
      </c>
      <c r="D5" s="136" t="s">
        <v>913</v>
      </c>
      <c r="E5" s="126" t="s">
        <v>908</v>
      </c>
      <c r="F5" s="238" t="s">
        <v>298</v>
      </c>
      <c r="G5" s="115">
        <v>40</v>
      </c>
      <c r="H5" s="116" t="s">
        <v>949</v>
      </c>
      <c r="I5" s="117" t="s">
        <v>954</v>
      </c>
      <c r="J5" s="111" t="s">
        <v>897</v>
      </c>
      <c r="K5" s="133" t="s">
        <v>27</v>
      </c>
      <c r="L5" s="112">
        <v>-15.214581000000001</v>
      </c>
      <c r="M5" s="118">
        <v>-74.046790999999999</v>
      </c>
    </row>
    <row r="6" spans="1:13" s="275" customFormat="1" ht="98.25" customHeight="1">
      <c r="A6" s="225">
        <v>171</v>
      </c>
      <c r="B6" s="202" t="s">
        <v>911</v>
      </c>
      <c r="C6" s="113">
        <v>46070</v>
      </c>
      <c r="D6" s="136" t="s">
        <v>916</v>
      </c>
      <c r="E6" s="126" t="s">
        <v>909</v>
      </c>
      <c r="F6" s="238" t="s">
        <v>298</v>
      </c>
      <c r="G6" s="115">
        <v>20</v>
      </c>
      <c r="H6" s="116" t="s">
        <v>915</v>
      </c>
      <c r="I6" s="117" t="s">
        <v>917</v>
      </c>
      <c r="J6" s="111" t="s">
        <v>897</v>
      </c>
      <c r="K6" s="144"/>
      <c r="L6" s="112">
        <v>-14.714263000000001</v>
      </c>
      <c r="M6" s="118">
        <v>-74.082544999999996</v>
      </c>
    </row>
    <row r="7" spans="1:13" ht="94.5" customHeight="1">
      <c r="A7" s="225">
        <v>170</v>
      </c>
      <c r="B7" s="202" t="s">
        <v>899</v>
      </c>
      <c r="C7" s="113">
        <v>46069</v>
      </c>
      <c r="D7" s="136" t="s">
        <v>901</v>
      </c>
      <c r="E7" s="126" t="s">
        <v>902</v>
      </c>
      <c r="F7" s="238" t="s">
        <v>298</v>
      </c>
      <c r="G7" s="115">
        <v>200</v>
      </c>
      <c r="H7" s="116" t="s">
        <v>912</v>
      </c>
      <c r="I7" s="117" t="s">
        <v>898</v>
      </c>
      <c r="J7" s="111" t="s">
        <v>897</v>
      </c>
      <c r="K7" s="128" t="s">
        <v>27</v>
      </c>
      <c r="L7" s="112">
        <v>-15.601504</v>
      </c>
      <c r="M7" s="118">
        <v>-73.783794</v>
      </c>
    </row>
    <row r="8" spans="1:13" s="275" customFormat="1" ht="96.75" customHeight="1">
      <c r="A8" s="225">
        <v>169</v>
      </c>
      <c r="B8" s="202" t="s">
        <v>552</v>
      </c>
      <c r="C8" s="113">
        <v>46056</v>
      </c>
      <c r="D8" s="136" t="s">
        <v>737</v>
      </c>
      <c r="E8" s="120" t="s">
        <v>594</v>
      </c>
      <c r="F8" s="238" t="s">
        <v>298</v>
      </c>
      <c r="G8" s="115" t="s">
        <v>90</v>
      </c>
      <c r="H8" s="116" t="s">
        <v>906</v>
      </c>
      <c r="I8" s="117" t="s">
        <v>556</v>
      </c>
      <c r="J8" s="130" t="s">
        <v>211</v>
      </c>
      <c r="K8" s="128" t="s">
        <v>27</v>
      </c>
      <c r="L8" s="112">
        <v>-10.49685</v>
      </c>
      <c r="M8" s="118">
        <v>-77.076480000000004</v>
      </c>
    </row>
    <row r="9" spans="1:13" s="275" customFormat="1" ht="117" customHeight="1">
      <c r="A9" s="225">
        <v>168</v>
      </c>
      <c r="B9" s="202" t="s">
        <v>952</v>
      </c>
      <c r="C9" s="113">
        <v>46070</v>
      </c>
      <c r="D9" s="136" t="s">
        <v>918</v>
      </c>
      <c r="E9" s="126" t="s">
        <v>950</v>
      </c>
      <c r="F9" s="114" t="s">
        <v>12</v>
      </c>
      <c r="G9" s="115"/>
      <c r="H9" s="116" t="s">
        <v>951</v>
      </c>
      <c r="I9" s="117" t="s">
        <v>953</v>
      </c>
      <c r="J9" s="111" t="s">
        <v>897</v>
      </c>
      <c r="K9" s="128" t="s">
        <v>27</v>
      </c>
      <c r="L9" s="284">
        <v>-15.135032000000001</v>
      </c>
      <c r="M9" s="285">
        <v>-73.857391000000007</v>
      </c>
    </row>
    <row r="10" spans="1:13" s="275" customFormat="1" ht="92.25" customHeight="1">
      <c r="A10" s="225">
        <v>167</v>
      </c>
      <c r="B10" s="202" t="s">
        <v>937</v>
      </c>
      <c r="C10" s="113">
        <v>46070</v>
      </c>
      <c r="D10" s="136" t="s">
        <v>934</v>
      </c>
      <c r="E10" s="126" t="s">
        <v>935</v>
      </c>
      <c r="F10" s="114" t="s">
        <v>12</v>
      </c>
      <c r="G10" s="282">
        <v>100</v>
      </c>
      <c r="H10" s="116" t="s">
        <v>936</v>
      </c>
      <c r="I10" s="117" t="s">
        <v>276</v>
      </c>
      <c r="J10" s="111" t="s">
        <v>282</v>
      </c>
      <c r="K10" s="283"/>
      <c r="L10" s="284">
        <v>-5.4356549999999997</v>
      </c>
      <c r="M10" s="285">
        <v>-79.479701000000006</v>
      </c>
    </row>
    <row r="11" spans="1:13" ht="99" customHeight="1">
      <c r="A11" s="225">
        <v>166</v>
      </c>
      <c r="B11" s="202" t="s">
        <v>933</v>
      </c>
      <c r="C11" s="113">
        <v>46070</v>
      </c>
      <c r="D11" s="136" t="s">
        <v>928</v>
      </c>
      <c r="E11" s="126" t="s">
        <v>929</v>
      </c>
      <c r="F11" s="114" t="s">
        <v>12</v>
      </c>
      <c r="G11" s="282">
        <v>25</v>
      </c>
      <c r="H11" s="116" t="s">
        <v>930</v>
      </c>
      <c r="I11" s="117" t="s">
        <v>932</v>
      </c>
      <c r="J11" s="130" t="s">
        <v>931</v>
      </c>
      <c r="K11" s="128" t="s">
        <v>27</v>
      </c>
      <c r="L11" s="284">
        <v>-11.375976</v>
      </c>
      <c r="M11" s="285">
        <v>-77.323109000000002</v>
      </c>
    </row>
    <row r="12" spans="1:13" ht="110.25" customHeight="1">
      <c r="A12" s="225">
        <v>165</v>
      </c>
      <c r="B12" s="202" t="s">
        <v>926</v>
      </c>
      <c r="C12" s="113">
        <v>46070</v>
      </c>
      <c r="D12" s="136" t="s">
        <v>923</v>
      </c>
      <c r="E12" s="126" t="s">
        <v>924</v>
      </c>
      <c r="F12" s="114" t="s">
        <v>12</v>
      </c>
      <c r="G12" s="115">
        <v>35</v>
      </c>
      <c r="H12" s="116" t="s">
        <v>927</v>
      </c>
      <c r="I12" s="117" t="s">
        <v>925</v>
      </c>
      <c r="J12" s="111" t="s">
        <v>407</v>
      </c>
      <c r="K12" s="144"/>
      <c r="L12" s="112">
        <v>-13.067773000000001</v>
      </c>
      <c r="M12" s="118">
        <v>-72.397605999999996</v>
      </c>
    </row>
    <row r="13" spans="1:13" ht="123" customHeight="1">
      <c r="A13" s="225">
        <v>164</v>
      </c>
      <c r="B13" s="202" t="s">
        <v>922</v>
      </c>
      <c r="C13" s="113">
        <v>46070</v>
      </c>
      <c r="D13" s="136" t="s">
        <v>918</v>
      </c>
      <c r="E13" s="126" t="s">
        <v>919</v>
      </c>
      <c r="F13" s="114" t="s">
        <v>12</v>
      </c>
      <c r="G13" s="115"/>
      <c r="H13" s="116" t="s">
        <v>920</v>
      </c>
      <c r="I13" s="117" t="s">
        <v>921</v>
      </c>
      <c r="J13" s="111" t="s">
        <v>897</v>
      </c>
      <c r="K13" s="144"/>
      <c r="L13" s="112">
        <v>-15.118573</v>
      </c>
      <c r="M13" s="118">
        <v>-73.824658999999997</v>
      </c>
    </row>
    <row r="14" spans="1:13" ht="127.5" customHeight="1">
      <c r="A14" s="225">
        <v>163</v>
      </c>
      <c r="B14" s="202" t="s">
        <v>894</v>
      </c>
      <c r="C14" s="113">
        <v>46069</v>
      </c>
      <c r="D14" s="136" t="s">
        <v>895</v>
      </c>
      <c r="E14" s="126" t="s">
        <v>896</v>
      </c>
      <c r="F14" s="114" t="s">
        <v>12</v>
      </c>
      <c r="G14" s="115">
        <v>40</v>
      </c>
      <c r="H14" s="116" t="s">
        <v>910</v>
      </c>
      <c r="I14" s="117" t="s">
        <v>898</v>
      </c>
      <c r="J14" s="111" t="s">
        <v>897</v>
      </c>
      <c r="K14" s="128" t="s">
        <v>27</v>
      </c>
      <c r="L14" s="112">
        <v>-15.079727</v>
      </c>
      <c r="M14" s="118">
        <v>-73.795337000000004</v>
      </c>
    </row>
    <row r="15" spans="1:13" ht="132" customHeight="1">
      <c r="A15" s="225">
        <v>162</v>
      </c>
      <c r="B15" s="202" t="s">
        <v>744</v>
      </c>
      <c r="C15" s="113">
        <v>46069</v>
      </c>
      <c r="D15" s="135" t="s">
        <v>742</v>
      </c>
      <c r="E15" s="126" t="s">
        <v>743</v>
      </c>
      <c r="F15" s="114" t="s">
        <v>12</v>
      </c>
      <c r="G15" s="115">
        <v>500</v>
      </c>
      <c r="H15" s="116" t="s">
        <v>746</v>
      </c>
      <c r="I15" s="117" t="s">
        <v>25</v>
      </c>
      <c r="J15" s="111" t="s">
        <v>220</v>
      </c>
      <c r="K15" s="128" t="s">
        <v>27</v>
      </c>
      <c r="L15" s="233">
        <v>-6.2031749999999999</v>
      </c>
      <c r="M15" s="234">
        <v>-78.281081</v>
      </c>
    </row>
    <row r="16" spans="1:13" ht="124.5" customHeight="1">
      <c r="A16" s="225">
        <v>161</v>
      </c>
      <c r="B16" s="202" t="s">
        <v>739</v>
      </c>
      <c r="C16" s="113">
        <v>46069</v>
      </c>
      <c r="D16" s="135" t="s">
        <v>532</v>
      </c>
      <c r="E16" s="126" t="s">
        <v>738</v>
      </c>
      <c r="F16" s="114" t="s">
        <v>12</v>
      </c>
      <c r="G16" s="115">
        <v>25</v>
      </c>
      <c r="H16" s="116" t="s">
        <v>746</v>
      </c>
      <c r="I16" s="117" t="s">
        <v>25</v>
      </c>
      <c r="J16" s="111" t="s">
        <v>220</v>
      </c>
      <c r="K16" s="128" t="s">
        <v>27</v>
      </c>
      <c r="L16" s="233">
        <v>-6.282203</v>
      </c>
      <c r="M16" s="234">
        <v>-78.193366999999995</v>
      </c>
    </row>
    <row r="17" spans="1:13" ht="113.25" customHeight="1">
      <c r="A17" s="225">
        <v>160</v>
      </c>
      <c r="B17" s="197" t="s">
        <v>725</v>
      </c>
      <c r="C17" s="113">
        <v>46069</v>
      </c>
      <c r="D17" s="135" t="s">
        <v>501</v>
      </c>
      <c r="E17" s="120" t="s">
        <v>735</v>
      </c>
      <c r="F17" s="114" t="s">
        <v>12</v>
      </c>
      <c r="G17" s="115">
        <v>20</v>
      </c>
      <c r="H17" s="116" t="s">
        <v>748</v>
      </c>
      <c r="I17" s="117" t="s">
        <v>276</v>
      </c>
      <c r="J17" s="111" t="s">
        <v>282</v>
      </c>
      <c r="K17" s="128" t="s">
        <v>27</v>
      </c>
      <c r="L17" s="112">
        <v>-5.1348642349377096</v>
      </c>
      <c r="M17" s="118">
        <v>-79.454627037048297</v>
      </c>
    </row>
    <row r="18" spans="1:13" ht="140.25" customHeight="1">
      <c r="A18" s="225">
        <v>159</v>
      </c>
      <c r="B18" s="202" t="s">
        <v>712</v>
      </c>
      <c r="C18" s="113">
        <v>46068</v>
      </c>
      <c r="D18" s="136" t="s">
        <v>713</v>
      </c>
      <c r="E18" s="126" t="s">
        <v>714</v>
      </c>
      <c r="F18" s="114" t="s">
        <v>12</v>
      </c>
      <c r="G18" s="115">
        <v>50</v>
      </c>
      <c r="H18" s="116" t="s">
        <v>749</v>
      </c>
      <c r="I18" s="117" t="s">
        <v>715</v>
      </c>
      <c r="J18" s="130" t="s">
        <v>219</v>
      </c>
      <c r="K18" s="128" t="s">
        <v>27</v>
      </c>
      <c r="L18" s="222">
        <v>-6.0921310000000002</v>
      </c>
      <c r="M18" s="223">
        <v>-78.729090999999997</v>
      </c>
    </row>
    <row r="19" spans="1:13" ht="99.75" customHeight="1">
      <c r="A19" s="225">
        <v>158</v>
      </c>
      <c r="B19" s="205" t="s">
        <v>719</v>
      </c>
      <c r="C19" s="227">
        <v>46068</v>
      </c>
      <c r="D19" s="138" t="s">
        <v>720</v>
      </c>
      <c r="E19" s="129" t="s">
        <v>721</v>
      </c>
      <c r="F19" s="114" t="s">
        <v>12</v>
      </c>
      <c r="G19" s="228" t="s">
        <v>90</v>
      </c>
      <c r="H19" s="229" t="s">
        <v>903</v>
      </c>
      <c r="I19" s="230" t="s">
        <v>710</v>
      </c>
      <c r="J19" s="130" t="s">
        <v>709</v>
      </c>
      <c r="K19" s="128"/>
      <c r="L19" s="112">
        <v>-14.6187</v>
      </c>
      <c r="M19" s="118">
        <v>-74.264200000000002</v>
      </c>
    </row>
    <row r="20" spans="1:13" ht="144" customHeight="1">
      <c r="A20" s="225">
        <v>157</v>
      </c>
      <c r="B20" s="202" t="s">
        <v>717</v>
      </c>
      <c r="C20" s="113">
        <v>46068</v>
      </c>
      <c r="D20" s="136" t="s">
        <v>716</v>
      </c>
      <c r="E20" s="126" t="s">
        <v>718</v>
      </c>
      <c r="F20" s="114" t="s">
        <v>12</v>
      </c>
      <c r="G20" s="115">
        <v>15</v>
      </c>
      <c r="H20" s="116" t="s">
        <v>799</v>
      </c>
      <c r="I20" s="117" t="s">
        <v>722</v>
      </c>
      <c r="J20" s="130" t="s">
        <v>219</v>
      </c>
      <c r="K20" s="128" t="s">
        <v>27</v>
      </c>
      <c r="L20" s="222">
        <v>-6.3338840000000003</v>
      </c>
      <c r="M20" s="223">
        <v>-78.723214999999996</v>
      </c>
    </row>
    <row r="21" spans="1:13" ht="114.75" customHeight="1">
      <c r="A21" s="225">
        <v>156</v>
      </c>
      <c r="B21" s="202" t="s">
        <v>703</v>
      </c>
      <c r="C21" s="113">
        <v>46068</v>
      </c>
      <c r="D21" s="136" t="s">
        <v>704</v>
      </c>
      <c r="E21" s="126" t="s">
        <v>705</v>
      </c>
      <c r="F21" s="114" t="s">
        <v>12</v>
      </c>
      <c r="G21" s="115" t="s">
        <v>90</v>
      </c>
      <c r="H21" s="116" t="s">
        <v>800</v>
      </c>
      <c r="I21" s="117" t="s">
        <v>706</v>
      </c>
      <c r="J21" s="111" t="s">
        <v>127</v>
      </c>
      <c r="K21" s="146" t="s">
        <v>27</v>
      </c>
      <c r="L21" s="166">
        <v>-5.8197999999999999</v>
      </c>
      <c r="M21" s="167">
        <v>-79.460800000000006</v>
      </c>
    </row>
    <row r="22" spans="1:13" ht="109.5" customHeight="1">
      <c r="A22" s="225">
        <v>155</v>
      </c>
      <c r="B22" s="202" t="s">
        <v>730</v>
      </c>
      <c r="C22" s="113">
        <v>46066</v>
      </c>
      <c r="D22" s="135" t="s">
        <v>726</v>
      </c>
      <c r="E22" s="120" t="s">
        <v>729</v>
      </c>
      <c r="F22" s="114" t="s">
        <v>12</v>
      </c>
      <c r="G22" s="232">
        <v>10</v>
      </c>
      <c r="H22" s="116" t="s">
        <v>801</v>
      </c>
      <c r="I22" s="117" t="s">
        <v>727</v>
      </c>
      <c r="J22" s="111" t="s">
        <v>728</v>
      </c>
      <c r="K22" s="128" t="s">
        <v>27</v>
      </c>
      <c r="L22" s="233">
        <v>-13.53196</v>
      </c>
      <c r="M22" s="234">
        <v>-75.505754999999994</v>
      </c>
    </row>
    <row r="23" spans="1:13" ht="109.5" customHeight="1">
      <c r="A23" s="225">
        <v>154</v>
      </c>
      <c r="B23" s="202" t="s">
        <v>702</v>
      </c>
      <c r="C23" s="113">
        <v>46066</v>
      </c>
      <c r="D23" s="136" t="s">
        <v>699</v>
      </c>
      <c r="E23" s="126" t="s">
        <v>700</v>
      </c>
      <c r="F23" s="114" t="s">
        <v>12</v>
      </c>
      <c r="G23" s="115" t="s">
        <v>90</v>
      </c>
      <c r="H23" s="116" t="s">
        <v>802</v>
      </c>
      <c r="I23" s="117" t="s">
        <v>701</v>
      </c>
      <c r="J23" s="111" t="s">
        <v>213</v>
      </c>
      <c r="K23" s="128" t="s">
        <v>27</v>
      </c>
      <c r="L23" s="222">
        <v>-14.444520000000001</v>
      </c>
      <c r="M23" s="223">
        <v>-69.577088000000003</v>
      </c>
    </row>
    <row r="24" spans="1:13" ht="109.5" customHeight="1">
      <c r="A24" s="225">
        <v>153</v>
      </c>
      <c r="B24" s="202" t="s">
        <v>694</v>
      </c>
      <c r="C24" s="113">
        <v>46066</v>
      </c>
      <c r="D24" s="136" t="s">
        <v>155</v>
      </c>
      <c r="E24" s="126" t="s">
        <v>693</v>
      </c>
      <c r="F24" s="114" t="s">
        <v>12</v>
      </c>
      <c r="G24" s="221">
        <v>25</v>
      </c>
      <c r="H24" s="116" t="s">
        <v>803</v>
      </c>
      <c r="I24" s="117" t="s">
        <v>696</v>
      </c>
      <c r="J24" s="111" t="s">
        <v>407</v>
      </c>
      <c r="K24" s="128" t="s">
        <v>27</v>
      </c>
      <c r="L24" s="222">
        <v>-13.82526</v>
      </c>
      <c r="M24" s="223">
        <v>-72.795084000000003</v>
      </c>
    </row>
    <row r="25" spans="1:13" ht="106.5" customHeight="1">
      <c r="A25" s="225">
        <v>152</v>
      </c>
      <c r="B25" s="202" t="s">
        <v>687</v>
      </c>
      <c r="C25" s="113">
        <v>46066</v>
      </c>
      <c r="D25" s="136" t="s">
        <v>685</v>
      </c>
      <c r="E25" s="126" t="s">
        <v>686</v>
      </c>
      <c r="F25" s="114" t="s">
        <v>12</v>
      </c>
      <c r="G25" s="221">
        <v>10</v>
      </c>
      <c r="H25" s="116" t="s">
        <v>804</v>
      </c>
      <c r="I25" s="117" t="s">
        <v>25</v>
      </c>
      <c r="J25" s="111" t="s">
        <v>457</v>
      </c>
      <c r="K25" s="128" t="s">
        <v>27</v>
      </c>
      <c r="L25" s="222">
        <v>-8.6659260000000007</v>
      </c>
      <c r="M25" s="223">
        <v>-78.054916000000006</v>
      </c>
    </row>
    <row r="26" spans="1:13" ht="115.5" customHeight="1">
      <c r="A26" s="225">
        <v>151</v>
      </c>
      <c r="B26" s="202" t="s">
        <v>680</v>
      </c>
      <c r="C26" s="113">
        <v>46065</v>
      </c>
      <c r="D26" s="136" t="s">
        <v>678</v>
      </c>
      <c r="E26" s="126" t="s">
        <v>711</v>
      </c>
      <c r="F26" s="114" t="s">
        <v>12</v>
      </c>
      <c r="G26" s="221">
        <v>25</v>
      </c>
      <c r="H26" s="116" t="s">
        <v>805</v>
      </c>
      <c r="I26" s="117" t="s">
        <v>677</v>
      </c>
      <c r="J26" s="130" t="s">
        <v>219</v>
      </c>
      <c r="K26" s="128" t="s">
        <v>27</v>
      </c>
      <c r="L26" s="222">
        <v>-6.5691990000000002</v>
      </c>
      <c r="M26" s="223">
        <v>-78.853289000000004</v>
      </c>
    </row>
    <row r="27" spans="1:13" ht="129" customHeight="1">
      <c r="A27" s="225">
        <v>150</v>
      </c>
      <c r="B27" s="202" t="s">
        <v>723</v>
      </c>
      <c r="C27" s="113">
        <v>46065</v>
      </c>
      <c r="D27" s="136" t="s">
        <v>522</v>
      </c>
      <c r="E27" s="126" t="s">
        <v>724</v>
      </c>
      <c r="F27" s="114" t="s">
        <v>12</v>
      </c>
      <c r="G27" s="115">
        <v>40</v>
      </c>
      <c r="H27" s="116" t="s">
        <v>806</v>
      </c>
      <c r="I27" s="117" t="s">
        <v>661</v>
      </c>
      <c r="J27" s="130" t="s">
        <v>219</v>
      </c>
      <c r="K27" s="128" t="s">
        <v>27</v>
      </c>
      <c r="L27" s="112">
        <v>-6.1719670000000004</v>
      </c>
      <c r="M27" s="118">
        <v>-78.736815000000007</v>
      </c>
    </row>
    <row r="28" spans="1:13" ht="111.75" customHeight="1">
      <c r="A28" s="225">
        <v>149</v>
      </c>
      <c r="B28" s="202" t="s">
        <v>679</v>
      </c>
      <c r="C28" s="113">
        <v>46065</v>
      </c>
      <c r="D28" s="136" t="s">
        <v>678</v>
      </c>
      <c r="E28" s="126" t="s">
        <v>676</v>
      </c>
      <c r="F28" s="114" t="s">
        <v>12</v>
      </c>
      <c r="G28" s="115">
        <v>20</v>
      </c>
      <c r="H28" s="116" t="s">
        <v>807</v>
      </c>
      <c r="I28" s="117" t="s">
        <v>677</v>
      </c>
      <c r="J28" s="130" t="s">
        <v>219</v>
      </c>
      <c r="K28" s="128" t="s">
        <v>27</v>
      </c>
      <c r="L28" s="222">
        <v>-6.5676740000000002</v>
      </c>
      <c r="M28" s="223">
        <v>-78.812594000000004</v>
      </c>
    </row>
    <row r="29" spans="1:13" ht="93.75" customHeight="1">
      <c r="A29" s="225">
        <v>148</v>
      </c>
      <c r="B29" s="202" t="s">
        <v>674</v>
      </c>
      <c r="C29" s="113">
        <v>46065</v>
      </c>
      <c r="D29" s="136" t="s">
        <v>206</v>
      </c>
      <c r="E29" s="126" t="s">
        <v>675</v>
      </c>
      <c r="F29" s="114" t="s">
        <v>12</v>
      </c>
      <c r="G29" s="115" t="s">
        <v>90</v>
      </c>
      <c r="H29" s="116" t="s">
        <v>808</v>
      </c>
      <c r="I29" s="117" t="s">
        <v>681</v>
      </c>
      <c r="J29" s="111" t="s">
        <v>98</v>
      </c>
      <c r="K29" s="128" t="s">
        <v>27</v>
      </c>
      <c r="L29" s="112">
        <v>-6.3516000000000004</v>
      </c>
      <c r="M29" s="118">
        <v>-78.812899999999999</v>
      </c>
    </row>
    <row r="30" spans="1:13" ht="96.75" customHeight="1">
      <c r="A30" s="225">
        <v>147</v>
      </c>
      <c r="B30" s="202" t="s">
        <v>671</v>
      </c>
      <c r="C30" s="113">
        <v>46065</v>
      </c>
      <c r="D30" s="136" t="s">
        <v>672</v>
      </c>
      <c r="E30" s="126" t="s">
        <v>673</v>
      </c>
      <c r="F30" s="114" t="s">
        <v>12</v>
      </c>
      <c r="G30" s="115">
        <v>60</v>
      </c>
      <c r="H30" s="116" t="s">
        <v>808</v>
      </c>
      <c r="I30" s="117" t="s">
        <v>681</v>
      </c>
      <c r="J30" s="111" t="s">
        <v>98</v>
      </c>
      <c r="K30" s="128" t="s">
        <v>27</v>
      </c>
      <c r="L30" s="112">
        <v>-6.4817999999999998</v>
      </c>
      <c r="M30" s="118">
        <v>-78.863</v>
      </c>
    </row>
    <row r="31" spans="1:13" ht="96.75" customHeight="1">
      <c r="A31" s="225">
        <v>146</v>
      </c>
      <c r="B31" s="146" t="s">
        <v>692</v>
      </c>
      <c r="C31" s="113">
        <v>46064</v>
      </c>
      <c r="D31" s="136" t="s">
        <v>690</v>
      </c>
      <c r="E31" s="120" t="s">
        <v>691</v>
      </c>
      <c r="F31" s="114" t="s">
        <v>12</v>
      </c>
      <c r="G31" s="115" t="s">
        <v>90</v>
      </c>
      <c r="H31" s="116" t="s">
        <v>809</v>
      </c>
      <c r="I31" s="117" t="s">
        <v>25</v>
      </c>
      <c r="J31" s="111" t="s">
        <v>353</v>
      </c>
      <c r="K31" s="128" t="s">
        <v>27</v>
      </c>
      <c r="L31" s="112">
        <v>-16.76408</v>
      </c>
      <c r="M31" s="118">
        <v>-70.986772999999999</v>
      </c>
    </row>
    <row r="32" spans="1:13" ht="115.5" customHeight="1">
      <c r="A32" s="225">
        <v>145</v>
      </c>
      <c r="B32" s="226" t="s">
        <v>663</v>
      </c>
      <c r="C32" s="113">
        <v>46064</v>
      </c>
      <c r="D32" s="136" t="s">
        <v>384</v>
      </c>
      <c r="E32" s="120" t="s">
        <v>662</v>
      </c>
      <c r="F32" s="114" t="s">
        <v>12</v>
      </c>
      <c r="G32" s="115" t="s">
        <v>90</v>
      </c>
      <c r="H32" s="116" t="s">
        <v>810</v>
      </c>
      <c r="I32" s="117" t="s">
        <v>386</v>
      </c>
      <c r="J32" s="111" t="s">
        <v>244</v>
      </c>
      <c r="K32" s="128" t="s">
        <v>27</v>
      </c>
      <c r="L32" s="112">
        <v>-12.031458000000001</v>
      </c>
      <c r="M32" s="118">
        <v>-75.232225999999997</v>
      </c>
    </row>
    <row r="33" spans="1:13" ht="96.75" customHeight="1">
      <c r="A33" s="225">
        <v>144</v>
      </c>
      <c r="B33" s="202" t="s">
        <v>656</v>
      </c>
      <c r="C33" s="113">
        <v>46064</v>
      </c>
      <c r="D33" s="135" t="s">
        <v>657</v>
      </c>
      <c r="E33" s="126" t="s">
        <v>664</v>
      </c>
      <c r="F33" s="114" t="s">
        <v>12</v>
      </c>
      <c r="G33" s="216">
        <v>52</v>
      </c>
      <c r="H33" s="119" t="s">
        <v>811</v>
      </c>
      <c r="I33" s="117" t="s">
        <v>665</v>
      </c>
      <c r="J33" s="111" t="s">
        <v>433</v>
      </c>
      <c r="K33" s="128" t="s">
        <v>27</v>
      </c>
      <c r="L33" s="217">
        <v>-9.0141030000000004</v>
      </c>
      <c r="M33" s="218">
        <v>-78.618981000000005</v>
      </c>
    </row>
    <row r="34" spans="1:13" ht="105.75" customHeight="1">
      <c r="A34" s="225">
        <v>143</v>
      </c>
      <c r="B34" s="202" t="s">
        <v>643</v>
      </c>
      <c r="C34" s="113">
        <v>46063</v>
      </c>
      <c r="D34" s="163" t="s">
        <v>644</v>
      </c>
      <c r="E34" s="120" t="s">
        <v>645</v>
      </c>
      <c r="F34" s="114" t="s">
        <v>12</v>
      </c>
      <c r="G34" s="121" t="s">
        <v>90</v>
      </c>
      <c r="H34" s="116" t="s">
        <v>812</v>
      </c>
      <c r="I34" s="117" t="s">
        <v>258</v>
      </c>
      <c r="J34" s="111" t="s">
        <v>646</v>
      </c>
      <c r="K34" s="146" t="s">
        <v>27</v>
      </c>
      <c r="L34" s="112">
        <v>-14.050751999999999</v>
      </c>
      <c r="M34" s="118">
        <v>-73.483694999999997</v>
      </c>
    </row>
    <row r="35" spans="1:13" ht="96.75" customHeight="1">
      <c r="A35" s="225">
        <v>142</v>
      </c>
      <c r="B35" s="202" t="s">
        <v>652</v>
      </c>
      <c r="C35" s="113">
        <v>46063</v>
      </c>
      <c r="D35" s="135" t="s">
        <v>651</v>
      </c>
      <c r="E35" s="126" t="s">
        <v>650</v>
      </c>
      <c r="F35" s="114" t="s">
        <v>12</v>
      </c>
      <c r="G35" s="216">
        <v>20</v>
      </c>
      <c r="H35" s="190" t="s">
        <v>813</v>
      </c>
      <c r="I35" s="117" t="s">
        <v>666</v>
      </c>
      <c r="J35" s="111" t="s">
        <v>293</v>
      </c>
      <c r="K35" s="128" t="s">
        <v>27</v>
      </c>
      <c r="L35" s="217">
        <v>-12.718859</v>
      </c>
      <c r="M35" s="218">
        <v>-73.885825999999994</v>
      </c>
    </row>
    <row r="36" spans="1:13" ht="96.75" customHeight="1">
      <c r="A36" s="225">
        <v>141</v>
      </c>
      <c r="B36" s="202" t="s">
        <v>653</v>
      </c>
      <c r="C36" s="113">
        <v>46063</v>
      </c>
      <c r="D36" s="135" t="s">
        <v>654</v>
      </c>
      <c r="E36" s="126" t="s">
        <v>655</v>
      </c>
      <c r="F36" s="114" t="s">
        <v>12</v>
      </c>
      <c r="G36" s="216">
        <v>100</v>
      </c>
      <c r="H36" s="190" t="s">
        <v>814</v>
      </c>
      <c r="I36" s="117" t="s">
        <v>667</v>
      </c>
      <c r="J36" s="111" t="s">
        <v>314</v>
      </c>
      <c r="K36" s="128" t="s">
        <v>27</v>
      </c>
      <c r="L36" s="217">
        <v>-7.3492199999999999</v>
      </c>
      <c r="M36" s="218">
        <v>-77.637497999999994</v>
      </c>
    </row>
    <row r="37" spans="1:13" ht="96.75" customHeight="1">
      <c r="A37" s="225">
        <v>140</v>
      </c>
      <c r="B37" s="202" t="s">
        <v>647</v>
      </c>
      <c r="C37" s="113">
        <v>46063</v>
      </c>
      <c r="D37" s="135" t="s">
        <v>648</v>
      </c>
      <c r="E37" s="126" t="s">
        <v>649</v>
      </c>
      <c r="F37" s="114" t="s">
        <v>12</v>
      </c>
      <c r="G37" s="115" t="s">
        <v>90</v>
      </c>
      <c r="H37" s="116" t="s">
        <v>815</v>
      </c>
      <c r="I37" s="117" t="s">
        <v>25</v>
      </c>
      <c r="J37" s="111" t="s">
        <v>220</v>
      </c>
      <c r="K37" s="128" t="s">
        <v>27</v>
      </c>
      <c r="L37" s="112">
        <v>-6.8089180000000002</v>
      </c>
      <c r="M37" s="118">
        <v>-77.936148000000003</v>
      </c>
    </row>
    <row r="38" spans="1:13" ht="89.25">
      <c r="A38" s="225">
        <v>139</v>
      </c>
      <c r="B38" s="202" t="s">
        <v>741</v>
      </c>
      <c r="C38" s="113">
        <v>46062</v>
      </c>
      <c r="D38" s="136" t="s">
        <v>892</v>
      </c>
      <c r="E38" s="126" t="s">
        <v>891</v>
      </c>
      <c r="F38" s="114" t="s">
        <v>12</v>
      </c>
      <c r="G38" s="232">
        <v>165</v>
      </c>
      <c r="H38" s="116" t="s">
        <v>893</v>
      </c>
      <c r="I38" s="117" t="s">
        <v>740</v>
      </c>
      <c r="J38" s="111" t="s">
        <v>433</v>
      </c>
      <c r="K38" s="128" t="s">
        <v>27</v>
      </c>
      <c r="L38" s="233">
        <v>-8.3005119999999994</v>
      </c>
      <c r="M38" s="234">
        <v>-78.007586000000003</v>
      </c>
    </row>
    <row r="39" spans="1:13" ht="96.75" customHeight="1">
      <c r="A39" s="225">
        <v>138</v>
      </c>
      <c r="B39" s="202" t="s">
        <v>639</v>
      </c>
      <c r="C39" s="113">
        <v>46062</v>
      </c>
      <c r="D39" s="136" t="s">
        <v>640</v>
      </c>
      <c r="E39" s="126" t="s">
        <v>641</v>
      </c>
      <c r="F39" s="114" t="s">
        <v>12</v>
      </c>
      <c r="G39" s="115">
        <v>20</v>
      </c>
      <c r="H39" s="116" t="s">
        <v>816</v>
      </c>
      <c r="I39" s="117" t="s">
        <v>642</v>
      </c>
      <c r="J39" s="111" t="s">
        <v>436</v>
      </c>
      <c r="K39" s="128" t="s">
        <v>27</v>
      </c>
      <c r="L39" s="112">
        <v>-7.433681</v>
      </c>
      <c r="M39" s="118">
        <v>-78.792479</v>
      </c>
    </row>
    <row r="40" spans="1:13" ht="96.75" customHeight="1">
      <c r="A40" s="225">
        <v>137</v>
      </c>
      <c r="B40" s="202" t="s">
        <v>617</v>
      </c>
      <c r="C40" s="113">
        <v>46061</v>
      </c>
      <c r="D40" s="163" t="s">
        <v>616</v>
      </c>
      <c r="E40" s="120" t="s">
        <v>708</v>
      </c>
      <c r="F40" s="114" t="s">
        <v>12</v>
      </c>
      <c r="G40" s="161" t="s">
        <v>90</v>
      </c>
      <c r="H40" s="116" t="s">
        <v>817</v>
      </c>
      <c r="I40" s="117" t="s">
        <v>25</v>
      </c>
      <c r="J40" s="111" t="s">
        <v>430</v>
      </c>
      <c r="K40" s="128" t="s">
        <v>27</v>
      </c>
      <c r="L40" s="158">
        <v>-13.380972999999999</v>
      </c>
      <c r="M40" s="162">
        <v>-74.938807999999995</v>
      </c>
    </row>
    <row r="41" spans="1:13" ht="76.5">
      <c r="A41" s="225">
        <v>136</v>
      </c>
      <c r="B41" s="202" t="s">
        <v>615</v>
      </c>
      <c r="C41" s="113">
        <v>46061</v>
      </c>
      <c r="D41" s="163" t="s">
        <v>614</v>
      </c>
      <c r="E41" s="120" t="s">
        <v>638</v>
      </c>
      <c r="F41" s="114" t="s">
        <v>12</v>
      </c>
      <c r="G41" s="161" t="s">
        <v>90</v>
      </c>
      <c r="H41" s="116" t="s">
        <v>817</v>
      </c>
      <c r="I41" s="117" t="s">
        <v>25</v>
      </c>
      <c r="J41" s="111" t="s">
        <v>430</v>
      </c>
      <c r="K41" s="128" t="s">
        <v>27</v>
      </c>
      <c r="L41" s="158">
        <v>-13.380972999999999</v>
      </c>
      <c r="M41" s="162">
        <v>-74.938807999999995</v>
      </c>
    </row>
    <row r="42" spans="1:13" ht="96.75" customHeight="1">
      <c r="A42" s="225">
        <v>135</v>
      </c>
      <c r="B42" s="202" t="s">
        <v>609</v>
      </c>
      <c r="C42" s="113">
        <v>46061</v>
      </c>
      <c r="D42" s="136" t="s">
        <v>607</v>
      </c>
      <c r="E42" s="126" t="s">
        <v>682</v>
      </c>
      <c r="F42" s="114" t="s">
        <v>12</v>
      </c>
      <c r="G42" s="115">
        <v>30</v>
      </c>
      <c r="H42" s="116" t="s">
        <v>818</v>
      </c>
      <c r="I42" s="117" t="s">
        <v>608</v>
      </c>
      <c r="J42" s="111" t="s">
        <v>427</v>
      </c>
      <c r="K42" s="128" t="s">
        <v>27</v>
      </c>
      <c r="L42" s="112">
        <v>-12.9682</v>
      </c>
      <c r="M42" s="118">
        <v>-70.334199999999996</v>
      </c>
    </row>
    <row r="43" spans="1:13" ht="96.75" customHeight="1">
      <c r="A43" s="225">
        <v>134</v>
      </c>
      <c r="B43" s="202" t="s">
        <v>618</v>
      </c>
      <c r="C43" s="113">
        <v>46060</v>
      </c>
      <c r="D43" s="136" t="s">
        <v>539</v>
      </c>
      <c r="E43" s="120" t="s">
        <v>619</v>
      </c>
      <c r="F43" s="114" t="s">
        <v>12</v>
      </c>
      <c r="G43" s="115" t="s">
        <v>90</v>
      </c>
      <c r="H43" s="116" t="s">
        <v>819</v>
      </c>
      <c r="I43" s="117" t="s">
        <v>627</v>
      </c>
      <c r="J43" s="111" t="s">
        <v>611</v>
      </c>
      <c r="K43" s="146" t="s">
        <v>27</v>
      </c>
      <c r="L43" s="112">
        <v>-9.7338280000000008</v>
      </c>
      <c r="M43" s="118">
        <v>-76.091274999999996</v>
      </c>
    </row>
    <row r="44" spans="1:13" ht="96.75" customHeight="1">
      <c r="A44" s="225">
        <v>133</v>
      </c>
      <c r="B44" s="202" t="s">
        <v>613</v>
      </c>
      <c r="C44" s="113">
        <v>46060</v>
      </c>
      <c r="D44" s="136" t="s">
        <v>612</v>
      </c>
      <c r="E44" s="120" t="s">
        <v>610</v>
      </c>
      <c r="F44" s="114" t="s">
        <v>12</v>
      </c>
      <c r="G44" s="115">
        <v>20</v>
      </c>
      <c r="H44" s="116" t="s">
        <v>820</v>
      </c>
      <c r="I44" s="117" t="s">
        <v>421</v>
      </c>
      <c r="J44" s="111" t="s">
        <v>611</v>
      </c>
      <c r="K44" s="128" t="s">
        <v>27</v>
      </c>
      <c r="L44" s="210">
        <v>-10.892319000000001</v>
      </c>
      <c r="M44" s="211">
        <v>75.106019000000003</v>
      </c>
    </row>
    <row r="45" spans="1:13" ht="96.75" customHeight="1">
      <c r="A45" s="225">
        <v>132</v>
      </c>
      <c r="B45" s="202" t="s">
        <v>603</v>
      </c>
      <c r="C45" s="113">
        <v>46060</v>
      </c>
      <c r="D45" s="136" t="s">
        <v>558</v>
      </c>
      <c r="E45" s="126" t="s">
        <v>602</v>
      </c>
      <c r="F45" s="114" t="s">
        <v>12</v>
      </c>
      <c r="G45" s="115">
        <v>10</v>
      </c>
      <c r="H45" s="116" t="s">
        <v>821</v>
      </c>
      <c r="I45" s="117" t="s">
        <v>561</v>
      </c>
      <c r="J45" s="111" t="s">
        <v>127</v>
      </c>
      <c r="K45" s="144"/>
      <c r="L45" s="166">
        <v>-5.8019999999999996</v>
      </c>
      <c r="M45" s="167">
        <v>-79.376000000000005</v>
      </c>
    </row>
    <row r="46" spans="1:13" ht="100.5" customHeight="1">
      <c r="A46" s="225">
        <v>131</v>
      </c>
      <c r="B46" s="202" t="s">
        <v>601</v>
      </c>
      <c r="C46" s="113">
        <v>46060</v>
      </c>
      <c r="D46" s="135" t="s">
        <v>599</v>
      </c>
      <c r="E46" s="126" t="s">
        <v>600</v>
      </c>
      <c r="F46" s="114" t="s">
        <v>12</v>
      </c>
      <c r="G46" s="206">
        <v>50</v>
      </c>
      <c r="H46" s="116" t="s">
        <v>822</v>
      </c>
      <c r="I46" s="117" t="s">
        <v>620</v>
      </c>
      <c r="J46" s="111" t="s">
        <v>433</v>
      </c>
      <c r="K46" s="128" t="s">
        <v>27</v>
      </c>
      <c r="L46" s="208">
        <v>-8.7426960000000005</v>
      </c>
      <c r="M46" s="209">
        <v>-77.899883000000003</v>
      </c>
    </row>
    <row r="47" spans="1:13" ht="100.5" customHeight="1">
      <c r="A47" s="225">
        <v>130</v>
      </c>
      <c r="B47" s="202" t="s">
        <v>585</v>
      </c>
      <c r="C47" s="113">
        <v>46059</v>
      </c>
      <c r="D47" s="135" t="s">
        <v>583</v>
      </c>
      <c r="E47" s="126" t="s">
        <v>584</v>
      </c>
      <c r="F47" s="114" t="s">
        <v>12</v>
      </c>
      <c r="G47" s="115">
        <v>300</v>
      </c>
      <c r="H47" s="116" t="s">
        <v>823</v>
      </c>
      <c r="I47" s="117" t="s">
        <v>294</v>
      </c>
      <c r="J47" s="111" t="s">
        <v>457</v>
      </c>
      <c r="K47" s="128" t="s">
        <v>27</v>
      </c>
      <c r="L47" s="112">
        <v>-8.5827530000000003</v>
      </c>
      <c r="M47" s="118">
        <v>-77.521118999999999</v>
      </c>
    </row>
    <row r="48" spans="1:13" ht="100.5" customHeight="1">
      <c r="A48" s="225">
        <v>129</v>
      </c>
      <c r="B48" s="202" t="s">
        <v>577</v>
      </c>
      <c r="C48" s="113">
        <v>46059</v>
      </c>
      <c r="D48" s="136" t="s">
        <v>586</v>
      </c>
      <c r="E48" s="126" t="s">
        <v>587</v>
      </c>
      <c r="F48" s="114" t="s">
        <v>12</v>
      </c>
      <c r="G48" s="115">
        <v>35</v>
      </c>
      <c r="H48" s="116" t="s">
        <v>824</v>
      </c>
      <c r="I48" s="117" t="s">
        <v>510</v>
      </c>
      <c r="J48" s="111" t="s">
        <v>436</v>
      </c>
      <c r="K48" s="128" t="s">
        <v>27</v>
      </c>
      <c r="L48" s="112">
        <v>-6.2403500000000003</v>
      </c>
      <c r="M48" s="118">
        <v>-78.717327999999995</v>
      </c>
    </row>
    <row r="49" spans="1:13" ht="120" customHeight="1">
      <c r="A49" s="225">
        <v>128</v>
      </c>
      <c r="B49" s="202" t="s">
        <v>624</v>
      </c>
      <c r="C49" s="113">
        <v>46058</v>
      </c>
      <c r="D49" s="135" t="s">
        <v>342</v>
      </c>
      <c r="E49" s="120" t="s">
        <v>622</v>
      </c>
      <c r="F49" s="114" t="s">
        <v>12</v>
      </c>
      <c r="G49" s="115" t="s">
        <v>90</v>
      </c>
      <c r="H49" s="116" t="s">
        <v>825</v>
      </c>
      <c r="I49" s="117" t="s">
        <v>629</v>
      </c>
      <c r="J49" s="111" t="s">
        <v>283</v>
      </c>
      <c r="K49" s="128" t="s">
        <v>27</v>
      </c>
      <c r="L49" s="112">
        <v>-5.3179999999999996</v>
      </c>
      <c r="M49" s="118">
        <v>-79.478099999999998</v>
      </c>
    </row>
    <row r="50" spans="1:13" ht="89.25" customHeight="1">
      <c r="A50" s="225">
        <v>127</v>
      </c>
      <c r="B50" s="202" t="s">
        <v>623</v>
      </c>
      <c r="C50" s="113">
        <v>46058</v>
      </c>
      <c r="D50" s="135" t="s">
        <v>323</v>
      </c>
      <c r="E50" s="120" t="s">
        <v>621</v>
      </c>
      <c r="F50" s="114" t="s">
        <v>12</v>
      </c>
      <c r="G50" s="115" t="s">
        <v>90</v>
      </c>
      <c r="H50" s="116" t="s">
        <v>825</v>
      </c>
      <c r="I50" s="117" t="s">
        <v>629</v>
      </c>
      <c r="J50" s="111" t="s">
        <v>283</v>
      </c>
      <c r="K50" s="128" t="s">
        <v>27</v>
      </c>
      <c r="L50" s="112">
        <v>-5.3828170000000002</v>
      </c>
      <c r="M50" s="118">
        <v>-79.607921000000005</v>
      </c>
    </row>
    <row r="51" spans="1:13" ht="96.75" customHeight="1">
      <c r="A51" s="225">
        <v>126</v>
      </c>
      <c r="B51" s="202" t="s">
        <v>580</v>
      </c>
      <c r="C51" s="113">
        <v>46058</v>
      </c>
      <c r="D51" s="163" t="s">
        <v>581</v>
      </c>
      <c r="E51" s="120" t="s">
        <v>582</v>
      </c>
      <c r="F51" s="114" t="s">
        <v>12</v>
      </c>
      <c r="G51" s="121" t="s">
        <v>90</v>
      </c>
      <c r="H51" s="116" t="s">
        <v>826</v>
      </c>
      <c r="I51" s="117" t="s">
        <v>182</v>
      </c>
      <c r="J51" s="130" t="s">
        <v>211</v>
      </c>
      <c r="K51" s="146" t="s">
        <v>27</v>
      </c>
      <c r="L51" s="112">
        <v>-12.037077999999999</v>
      </c>
      <c r="M51" s="118">
        <v>-76.120215999999999</v>
      </c>
    </row>
    <row r="52" spans="1:13" ht="129" customHeight="1">
      <c r="A52" s="225">
        <v>125</v>
      </c>
      <c r="B52" s="202" t="s">
        <v>568</v>
      </c>
      <c r="C52" s="113">
        <v>46058</v>
      </c>
      <c r="D52" s="134" t="s">
        <v>163</v>
      </c>
      <c r="E52" s="126" t="s">
        <v>573</v>
      </c>
      <c r="F52" s="114" t="s">
        <v>12</v>
      </c>
      <c r="G52" s="115">
        <v>81</v>
      </c>
      <c r="H52" s="119" t="s">
        <v>827</v>
      </c>
      <c r="I52" s="117" t="s">
        <v>75</v>
      </c>
      <c r="J52" s="111" t="s">
        <v>574</v>
      </c>
      <c r="K52" s="128" t="s">
        <v>27</v>
      </c>
      <c r="L52" s="112">
        <v>-9.0378699999999998</v>
      </c>
      <c r="M52" s="118">
        <v>-75.493601999999996</v>
      </c>
    </row>
    <row r="53" spans="1:13" ht="96.75" customHeight="1">
      <c r="A53" s="225">
        <v>124</v>
      </c>
      <c r="B53" s="202" t="s">
        <v>569</v>
      </c>
      <c r="C53" s="113">
        <v>46058</v>
      </c>
      <c r="D53" s="134" t="s">
        <v>163</v>
      </c>
      <c r="E53" s="126" t="s">
        <v>109</v>
      </c>
      <c r="F53" s="114" t="s">
        <v>12</v>
      </c>
      <c r="G53" s="115">
        <v>283</v>
      </c>
      <c r="H53" s="119" t="s">
        <v>827</v>
      </c>
      <c r="I53" s="117" t="s">
        <v>75</v>
      </c>
      <c r="J53" s="111" t="s">
        <v>574</v>
      </c>
      <c r="K53" s="128" t="s">
        <v>27</v>
      </c>
      <c r="L53" s="112">
        <v>-9.0373579999999993</v>
      </c>
      <c r="M53" s="118">
        <v>-75.505527999999998</v>
      </c>
    </row>
    <row r="54" spans="1:13" ht="76.5">
      <c r="A54" s="225">
        <v>123</v>
      </c>
      <c r="B54" s="202" t="s">
        <v>634</v>
      </c>
      <c r="C54" s="113">
        <v>46057</v>
      </c>
      <c r="D54" s="136" t="s">
        <v>630</v>
      </c>
      <c r="E54" s="120" t="s">
        <v>632</v>
      </c>
      <c r="F54" s="114" t="s">
        <v>12</v>
      </c>
      <c r="G54" s="115" t="s">
        <v>90</v>
      </c>
      <c r="H54" s="116" t="s">
        <v>828</v>
      </c>
      <c r="I54" s="117" t="s">
        <v>421</v>
      </c>
      <c r="J54" s="111" t="s">
        <v>611</v>
      </c>
      <c r="K54" s="128" t="s">
        <v>635</v>
      </c>
      <c r="L54" s="210">
        <v>-11.214127</v>
      </c>
      <c r="M54" s="211">
        <v>-74.415918000000005</v>
      </c>
    </row>
    <row r="55" spans="1:13" ht="76.5">
      <c r="A55" s="225">
        <v>122</v>
      </c>
      <c r="B55" s="202" t="s">
        <v>633</v>
      </c>
      <c r="C55" s="113">
        <v>46057</v>
      </c>
      <c r="D55" s="136" t="s">
        <v>630</v>
      </c>
      <c r="E55" s="120" t="s">
        <v>631</v>
      </c>
      <c r="F55" s="114" t="s">
        <v>12</v>
      </c>
      <c r="G55" s="115" t="s">
        <v>90</v>
      </c>
      <c r="H55" s="116" t="s">
        <v>828</v>
      </c>
      <c r="I55" s="117" t="s">
        <v>421</v>
      </c>
      <c r="J55" s="111" t="s">
        <v>611</v>
      </c>
      <c r="K55" s="128" t="s">
        <v>27</v>
      </c>
      <c r="L55" s="210">
        <v>-11.214127</v>
      </c>
      <c r="M55" s="211">
        <v>-74.415918000000005</v>
      </c>
    </row>
    <row r="56" spans="1:13" ht="76.5">
      <c r="A56" s="225">
        <v>121</v>
      </c>
      <c r="B56" s="205" t="s">
        <v>571</v>
      </c>
      <c r="C56" s="113">
        <v>46057</v>
      </c>
      <c r="D56" s="136" t="s">
        <v>154</v>
      </c>
      <c r="E56" s="126" t="s">
        <v>101</v>
      </c>
      <c r="F56" s="114" t="s">
        <v>12</v>
      </c>
      <c r="G56" s="115">
        <v>141</v>
      </c>
      <c r="H56" s="116" t="s">
        <v>829</v>
      </c>
      <c r="I56" s="117" t="s">
        <v>75</v>
      </c>
      <c r="J56" s="111" t="s">
        <v>574</v>
      </c>
      <c r="K56" s="128" t="s">
        <v>27</v>
      </c>
      <c r="L56" s="112">
        <v>-8.8298100000000002</v>
      </c>
      <c r="M56" s="118">
        <v>-75.213064000000003</v>
      </c>
    </row>
    <row r="57" spans="1:13" ht="76.5">
      <c r="A57" s="225">
        <v>120</v>
      </c>
      <c r="B57" s="202" t="s">
        <v>605</v>
      </c>
      <c r="C57" s="113">
        <v>46057</v>
      </c>
      <c r="D57" s="136" t="s">
        <v>604</v>
      </c>
      <c r="E57" s="126" t="s">
        <v>606</v>
      </c>
      <c r="F57" s="114" t="s">
        <v>12</v>
      </c>
      <c r="G57" s="121">
        <v>50</v>
      </c>
      <c r="H57" s="116" t="s">
        <v>830</v>
      </c>
      <c r="I57" s="117" t="s">
        <v>429</v>
      </c>
      <c r="J57" s="111" t="s">
        <v>98</v>
      </c>
      <c r="K57" s="207"/>
      <c r="L57" s="208">
        <v>-7.0927509999999998</v>
      </c>
      <c r="M57" s="209">
        <v>-78.572452999999996</v>
      </c>
    </row>
    <row r="58" spans="1:13" ht="100.5" customHeight="1">
      <c r="A58" s="225">
        <v>119</v>
      </c>
      <c r="B58" s="202" t="s">
        <v>550</v>
      </c>
      <c r="C58" s="113">
        <v>46056</v>
      </c>
      <c r="D58" s="136" t="s">
        <v>549</v>
      </c>
      <c r="E58" s="126" t="s">
        <v>557</v>
      </c>
      <c r="F58" s="114" t="s">
        <v>12</v>
      </c>
      <c r="G58" s="121" t="s">
        <v>90</v>
      </c>
      <c r="H58" s="116" t="s">
        <v>831</v>
      </c>
      <c r="I58" s="116" t="s">
        <v>563</v>
      </c>
      <c r="J58" s="117" t="s">
        <v>551</v>
      </c>
      <c r="K58" s="146" t="s">
        <v>27</v>
      </c>
      <c r="L58" s="112">
        <v>-13.646100000000001</v>
      </c>
      <c r="M58" s="118">
        <v>-70.468299999999999</v>
      </c>
    </row>
    <row r="59" spans="1:13" ht="100.5" customHeight="1">
      <c r="A59" s="225">
        <v>118</v>
      </c>
      <c r="B59" s="202" t="s">
        <v>579</v>
      </c>
      <c r="C59" s="113">
        <v>46056</v>
      </c>
      <c r="D59" s="135" t="s">
        <v>229</v>
      </c>
      <c r="E59" s="126" t="s">
        <v>578</v>
      </c>
      <c r="F59" s="114" t="s">
        <v>12</v>
      </c>
      <c r="G59" s="115">
        <v>20</v>
      </c>
      <c r="H59" s="116" t="s">
        <v>832</v>
      </c>
      <c r="I59" s="117" t="s">
        <v>257</v>
      </c>
      <c r="J59" s="111" t="s">
        <v>574</v>
      </c>
      <c r="K59" s="146" t="s">
        <v>27</v>
      </c>
      <c r="L59" s="112">
        <v>-10.737940999999999</v>
      </c>
      <c r="M59" s="118">
        <v>-75.254650999999996</v>
      </c>
    </row>
    <row r="60" spans="1:13" ht="100.5" customHeight="1">
      <c r="A60" s="225">
        <v>117</v>
      </c>
      <c r="B60" s="202" t="s">
        <v>560</v>
      </c>
      <c r="C60" s="113">
        <v>46056</v>
      </c>
      <c r="D60" s="136" t="s">
        <v>562</v>
      </c>
      <c r="E60" s="126" t="s">
        <v>559</v>
      </c>
      <c r="F60" s="114" t="s">
        <v>12</v>
      </c>
      <c r="G60" s="115" t="s">
        <v>90</v>
      </c>
      <c r="H60" s="116" t="s">
        <v>833</v>
      </c>
      <c r="I60" s="117" t="s">
        <v>561</v>
      </c>
      <c r="J60" s="111" t="s">
        <v>127</v>
      </c>
      <c r="K60" s="128" t="s">
        <v>27</v>
      </c>
      <c r="L60" s="203">
        <v>-5.7978810000000003</v>
      </c>
      <c r="M60" s="204">
        <v>-79.377106999999995</v>
      </c>
    </row>
    <row r="61" spans="1:13" ht="100.5" customHeight="1">
      <c r="A61" s="225">
        <v>116</v>
      </c>
      <c r="B61" s="202" t="s">
        <v>553</v>
      </c>
      <c r="C61" s="113">
        <v>46056</v>
      </c>
      <c r="D61" s="136" t="s">
        <v>554</v>
      </c>
      <c r="E61" s="120" t="s">
        <v>555</v>
      </c>
      <c r="F61" s="114" t="s">
        <v>12</v>
      </c>
      <c r="G61" s="115">
        <v>580</v>
      </c>
      <c r="H61" s="116" t="s">
        <v>834</v>
      </c>
      <c r="I61" s="117" t="s">
        <v>590</v>
      </c>
      <c r="J61" s="111" t="s">
        <v>213</v>
      </c>
      <c r="K61" s="128" t="s">
        <v>27</v>
      </c>
      <c r="L61" s="112">
        <v>-14.192017999999999</v>
      </c>
      <c r="M61" s="118">
        <v>-69.273840000000007</v>
      </c>
    </row>
    <row r="62" spans="1:13" ht="100.5" customHeight="1">
      <c r="A62" s="225">
        <v>115</v>
      </c>
      <c r="B62" s="202" t="s">
        <v>538</v>
      </c>
      <c r="C62" s="113">
        <v>46056</v>
      </c>
      <c r="D62" s="136" t="s">
        <v>539</v>
      </c>
      <c r="E62" s="120" t="s">
        <v>540</v>
      </c>
      <c r="F62" s="114" t="s">
        <v>12</v>
      </c>
      <c r="G62" s="115">
        <v>100</v>
      </c>
      <c r="H62" s="116" t="s">
        <v>835</v>
      </c>
      <c r="I62" s="117" t="s">
        <v>564</v>
      </c>
      <c r="J62" s="111" t="s">
        <v>285</v>
      </c>
      <c r="K62" s="128" t="s">
        <v>27</v>
      </c>
      <c r="L62" s="112">
        <v>-9.8050549999999994</v>
      </c>
      <c r="M62" s="118">
        <v>-76.068413000000007</v>
      </c>
    </row>
    <row r="63" spans="1:13" ht="105.75" customHeight="1">
      <c r="A63" s="225">
        <v>114</v>
      </c>
      <c r="B63" s="197" t="s">
        <v>537</v>
      </c>
      <c r="C63" s="113">
        <v>46055</v>
      </c>
      <c r="D63" s="136" t="s">
        <v>399</v>
      </c>
      <c r="E63" s="120" t="s">
        <v>536</v>
      </c>
      <c r="F63" s="114" t="s">
        <v>12</v>
      </c>
      <c r="G63" s="115">
        <v>50</v>
      </c>
      <c r="H63" s="116" t="s">
        <v>836</v>
      </c>
      <c r="I63" s="117" t="s">
        <v>565</v>
      </c>
      <c r="J63" s="111" t="s">
        <v>293</v>
      </c>
      <c r="K63" s="128" t="s">
        <v>27</v>
      </c>
      <c r="L63" s="112">
        <v>-12.598998</v>
      </c>
      <c r="M63" s="118">
        <v>-73.830695000000006</v>
      </c>
    </row>
    <row r="64" spans="1:13" ht="115.5" customHeight="1">
      <c r="A64" s="225">
        <v>113</v>
      </c>
      <c r="B64" s="197" t="s">
        <v>533</v>
      </c>
      <c r="C64" s="113">
        <v>46055</v>
      </c>
      <c r="D64" s="135" t="s">
        <v>532</v>
      </c>
      <c r="E64" s="126" t="s">
        <v>592</v>
      </c>
      <c r="F64" s="114" t="s">
        <v>12</v>
      </c>
      <c r="G64" s="115">
        <v>25</v>
      </c>
      <c r="H64" s="116" t="s">
        <v>837</v>
      </c>
      <c r="I64" s="117" t="s">
        <v>25</v>
      </c>
      <c r="J64" s="111" t="s">
        <v>220</v>
      </c>
      <c r="K64" s="128" t="s">
        <v>27</v>
      </c>
      <c r="L64" s="112">
        <v>-6.310772</v>
      </c>
      <c r="M64" s="118">
        <v>-78.106030000000004</v>
      </c>
    </row>
    <row r="65" spans="1:13" ht="98.25" customHeight="1">
      <c r="A65" s="225">
        <v>112</v>
      </c>
      <c r="B65" s="197" t="s">
        <v>531</v>
      </c>
      <c r="C65" s="113">
        <v>46055</v>
      </c>
      <c r="D65" s="135" t="s">
        <v>530</v>
      </c>
      <c r="E65" s="126" t="s">
        <v>591</v>
      </c>
      <c r="F65" s="114" t="s">
        <v>12</v>
      </c>
      <c r="G65" s="199">
        <v>25</v>
      </c>
      <c r="H65" s="116" t="s">
        <v>838</v>
      </c>
      <c r="I65" s="117" t="s">
        <v>566</v>
      </c>
      <c r="J65" s="111" t="s">
        <v>407</v>
      </c>
      <c r="K65" s="128" t="s">
        <v>27</v>
      </c>
      <c r="L65" s="200">
        <v>-14.067361</v>
      </c>
      <c r="M65" s="201">
        <v>-72.571194000000006</v>
      </c>
    </row>
    <row r="66" spans="1:13" ht="96.75" customHeight="1">
      <c r="A66" s="225">
        <v>111</v>
      </c>
      <c r="B66" s="197" t="s">
        <v>526</v>
      </c>
      <c r="C66" s="113">
        <v>46055</v>
      </c>
      <c r="D66" s="163" t="s">
        <v>524</v>
      </c>
      <c r="E66" s="120" t="s">
        <v>525</v>
      </c>
      <c r="F66" s="114" t="s">
        <v>12</v>
      </c>
      <c r="G66" s="115">
        <v>50</v>
      </c>
      <c r="H66" s="116" t="s">
        <v>839</v>
      </c>
      <c r="I66" s="117" t="s">
        <v>567</v>
      </c>
      <c r="J66" s="130" t="s">
        <v>343</v>
      </c>
      <c r="K66" s="128" t="s">
        <v>27</v>
      </c>
      <c r="L66" s="112">
        <v>-9.1523640000000004</v>
      </c>
      <c r="M66" s="118">
        <v>-75.973313000000005</v>
      </c>
    </row>
    <row r="67" spans="1:13" ht="95.25" customHeight="1">
      <c r="A67" s="225">
        <v>110</v>
      </c>
      <c r="B67" s="197" t="s">
        <v>523</v>
      </c>
      <c r="C67" s="113">
        <v>46055</v>
      </c>
      <c r="D67" s="136" t="s">
        <v>522</v>
      </c>
      <c r="E67" s="120" t="s">
        <v>521</v>
      </c>
      <c r="F67" s="114" t="s">
        <v>12</v>
      </c>
      <c r="G67" s="115">
        <v>20</v>
      </c>
      <c r="H67" s="116" t="s">
        <v>840</v>
      </c>
      <c r="I67" s="117" t="s">
        <v>661</v>
      </c>
      <c r="J67" s="130" t="s">
        <v>219</v>
      </c>
      <c r="K67" s="128" t="s">
        <v>27</v>
      </c>
      <c r="L67" s="112">
        <v>-6.1516489999999999</v>
      </c>
      <c r="M67" s="118">
        <v>-78.685432000000006</v>
      </c>
    </row>
    <row r="68" spans="1:13" ht="103.5" customHeight="1">
      <c r="A68" s="225">
        <v>109</v>
      </c>
      <c r="B68" s="202" t="s">
        <v>541</v>
      </c>
      <c r="C68" s="198">
        <v>46054</v>
      </c>
      <c r="D68" s="136" t="s">
        <v>542</v>
      </c>
      <c r="E68" s="126" t="s">
        <v>596</v>
      </c>
      <c r="F68" s="114" t="s">
        <v>12</v>
      </c>
      <c r="G68" s="121" t="s">
        <v>90</v>
      </c>
      <c r="H68" s="116" t="s">
        <v>841</v>
      </c>
      <c r="I68" s="117" t="s">
        <v>25</v>
      </c>
      <c r="J68" s="111" t="s">
        <v>212</v>
      </c>
      <c r="K68" s="128" t="s">
        <v>27</v>
      </c>
      <c r="L68" s="112">
        <v>-11.77</v>
      </c>
      <c r="M68" s="118">
        <v>-74.116</v>
      </c>
    </row>
    <row r="69" spans="1:13" ht="86.25" customHeight="1">
      <c r="A69" s="225">
        <v>108</v>
      </c>
      <c r="B69" s="197" t="s">
        <v>519</v>
      </c>
      <c r="C69" s="198">
        <v>46054</v>
      </c>
      <c r="D69" s="136" t="s">
        <v>206</v>
      </c>
      <c r="E69" s="126" t="s">
        <v>520</v>
      </c>
      <c r="F69" s="114" t="s">
        <v>12</v>
      </c>
      <c r="G69" s="121">
        <v>50</v>
      </c>
      <c r="H69" s="116" t="s">
        <v>842</v>
      </c>
      <c r="I69" s="117" t="s">
        <v>429</v>
      </c>
      <c r="J69" s="111" t="s">
        <v>98</v>
      </c>
      <c r="K69" s="128" t="s">
        <v>27</v>
      </c>
      <c r="L69" s="112">
        <v>-6.3550000000000004</v>
      </c>
      <c r="M69" s="118">
        <v>-78.811800000000005</v>
      </c>
    </row>
    <row r="70" spans="1:13" ht="105.75" customHeight="1">
      <c r="A70" s="225">
        <v>107</v>
      </c>
      <c r="B70" s="197" t="s">
        <v>507</v>
      </c>
      <c r="C70" s="113">
        <v>46053</v>
      </c>
      <c r="D70" s="136" t="s">
        <v>412</v>
      </c>
      <c r="E70" s="126" t="s">
        <v>508</v>
      </c>
      <c r="F70" s="114" t="s">
        <v>12</v>
      </c>
      <c r="G70" s="115">
        <v>160</v>
      </c>
      <c r="H70" s="116" t="s">
        <v>843</v>
      </c>
      <c r="I70" s="117" t="s">
        <v>325</v>
      </c>
      <c r="J70" s="111" t="s">
        <v>213</v>
      </c>
      <c r="K70" s="128" t="s">
        <v>27</v>
      </c>
      <c r="L70" s="112">
        <v>-14.314204999999999</v>
      </c>
      <c r="M70" s="118">
        <v>-69.454548000000003</v>
      </c>
    </row>
    <row r="71" spans="1:13" ht="93" customHeight="1">
      <c r="A71" s="225">
        <v>106</v>
      </c>
      <c r="B71" s="197" t="s">
        <v>499</v>
      </c>
      <c r="C71" s="113">
        <v>46052</v>
      </c>
      <c r="D71" s="136" t="s">
        <v>172</v>
      </c>
      <c r="E71" s="126" t="s">
        <v>597</v>
      </c>
      <c r="F71" s="114" t="s">
        <v>12</v>
      </c>
      <c r="G71" s="115">
        <v>800</v>
      </c>
      <c r="H71" s="116" t="s">
        <v>844</v>
      </c>
      <c r="I71" s="117" t="s">
        <v>506</v>
      </c>
      <c r="J71" s="111" t="s">
        <v>286</v>
      </c>
      <c r="K71" s="128" t="s">
        <v>27</v>
      </c>
      <c r="L71" s="112">
        <v>-10.110395</v>
      </c>
      <c r="M71" s="118">
        <v>-75.673355999999998</v>
      </c>
    </row>
    <row r="72" spans="1:13" ht="117" customHeight="1">
      <c r="A72" s="225">
        <v>105</v>
      </c>
      <c r="B72" s="197" t="s">
        <v>481</v>
      </c>
      <c r="C72" s="113">
        <v>46052</v>
      </c>
      <c r="D72" s="136" t="s">
        <v>426</v>
      </c>
      <c r="E72" s="126" t="s">
        <v>683</v>
      </c>
      <c r="F72" s="114" t="s">
        <v>12</v>
      </c>
      <c r="G72" s="115">
        <v>30</v>
      </c>
      <c r="H72" s="116" t="s">
        <v>845</v>
      </c>
      <c r="I72" s="117" t="s">
        <v>576</v>
      </c>
      <c r="J72" s="111" t="s">
        <v>427</v>
      </c>
      <c r="K72" s="128" t="s">
        <v>27</v>
      </c>
      <c r="L72" s="112">
        <v>-13.63076</v>
      </c>
      <c r="M72" s="118">
        <v>-71.072991999999999</v>
      </c>
    </row>
    <row r="73" spans="1:13" ht="114" customHeight="1">
      <c r="A73" s="225">
        <v>104</v>
      </c>
      <c r="B73" s="197" t="s">
        <v>491</v>
      </c>
      <c r="C73" s="113">
        <v>46052</v>
      </c>
      <c r="D73" s="136" t="s">
        <v>492</v>
      </c>
      <c r="E73" s="120" t="s">
        <v>493</v>
      </c>
      <c r="F73" s="114" t="s">
        <v>12</v>
      </c>
      <c r="G73" s="115" t="s">
        <v>90</v>
      </c>
      <c r="H73" s="116" t="s">
        <v>846</v>
      </c>
      <c r="I73" s="117" t="s">
        <v>494</v>
      </c>
      <c r="J73" s="111" t="s">
        <v>495</v>
      </c>
      <c r="K73" s="128" t="s">
        <v>27</v>
      </c>
      <c r="L73" s="112">
        <v>-17.426928</v>
      </c>
      <c r="M73" s="118">
        <v>-69.935142999999997</v>
      </c>
    </row>
    <row r="74" spans="1:13" ht="89.25">
      <c r="A74" s="225">
        <v>103</v>
      </c>
      <c r="B74" s="197" t="s">
        <v>505</v>
      </c>
      <c r="C74" s="113">
        <v>46051</v>
      </c>
      <c r="D74" s="136" t="s">
        <v>419</v>
      </c>
      <c r="E74" s="120" t="s">
        <v>688</v>
      </c>
      <c r="F74" s="114" t="s">
        <v>12</v>
      </c>
      <c r="G74" s="115">
        <v>20</v>
      </c>
      <c r="H74" s="116" t="s">
        <v>847</v>
      </c>
      <c r="I74" s="117" t="s">
        <v>509</v>
      </c>
      <c r="J74" s="111" t="s">
        <v>244</v>
      </c>
      <c r="K74" s="128" t="s">
        <v>27</v>
      </c>
      <c r="L74" s="194">
        <v>-10.892528</v>
      </c>
      <c r="M74" s="195">
        <v>-74.931653999999995</v>
      </c>
    </row>
    <row r="75" spans="1:13" ht="76.5">
      <c r="A75" s="225">
        <v>102</v>
      </c>
      <c r="B75" s="202" t="s">
        <v>543</v>
      </c>
      <c r="C75" s="113">
        <v>46051</v>
      </c>
      <c r="D75" s="136" t="s">
        <v>544</v>
      </c>
      <c r="E75" s="126" t="s">
        <v>545</v>
      </c>
      <c r="F75" s="114" t="s">
        <v>12</v>
      </c>
      <c r="G75" s="199">
        <v>120</v>
      </c>
      <c r="H75" s="116" t="s">
        <v>848</v>
      </c>
      <c r="I75" s="117" t="s">
        <v>25</v>
      </c>
      <c r="J75" s="111" t="s">
        <v>443</v>
      </c>
      <c r="K75" s="128" t="s">
        <v>27</v>
      </c>
      <c r="L75" s="200">
        <v>-14.379644000000001</v>
      </c>
      <c r="M75" s="201">
        <v>-75.093508999999997</v>
      </c>
    </row>
    <row r="76" spans="1:13" ht="76.5">
      <c r="A76" s="225">
        <v>101</v>
      </c>
      <c r="B76" s="197" t="s">
        <v>535</v>
      </c>
      <c r="C76" s="113">
        <v>46051</v>
      </c>
      <c r="D76" s="136" t="s">
        <v>451</v>
      </c>
      <c r="E76" s="126" t="s">
        <v>534</v>
      </c>
      <c r="F76" s="114" t="s">
        <v>12</v>
      </c>
      <c r="G76" s="199">
        <v>200</v>
      </c>
      <c r="H76" s="116" t="s">
        <v>849</v>
      </c>
      <c r="I76" s="117" t="s">
        <v>25</v>
      </c>
      <c r="J76" s="111" t="s">
        <v>353</v>
      </c>
      <c r="K76" s="128" t="s">
        <v>27</v>
      </c>
      <c r="L76" s="200">
        <v>-17.612556000000001</v>
      </c>
      <c r="M76" s="201">
        <v>-69.774265999999997</v>
      </c>
    </row>
    <row r="77" spans="1:13" ht="117" customHeight="1">
      <c r="A77" s="225">
        <v>100</v>
      </c>
      <c r="B77" s="197" t="s">
        <v>490</v>
      </c>
      <c r="C77" s="113">
        <v>46051</v>
      </c>
      <c r="D77" s="134" t="s">
        <v>488</v>
      </c>
      <c r="E77" s="120" t="s">
        <v>489</v>
      </c>
      <c r="F77" s="114" t="s">
        <v>12</v>
      </c>
      <c r="G77" s="115">
        <v>20</v>
      </c>
      <c r="H77" s="116" t="s">
        <v>850</v>
      </c>
      <c r="I77" s="117" t="s">
        <v>411</v>
      </c>
      <c r="J77" s="111" t="s">
        <v>407</v>
      </c>
      <c r="K77" s="128" t="s">
        <v>27</v>
      </c>
      <c r="L77" s="112">
        <v>-14.5022</v>
      </c>
      <c r="M77" s="118">
        <v>-71.315299999999993</v>
      </c>
    </row>
    <row r="78" spans="1:13" ht="76.5">
      <c r="A78" s="225">
        <v>99</v>
      </c>
      <c r="B78" s="197" t="s">
        <v>500</v>
      </c>
      <c r="C78" s="113">
        <v>46051</v>
      </c>
      <c r="D78" s="135" t="s">
        <v>501</v>
      </c>
      <c r="E78" s="120" t="s">
        <v>502</v>
      </c>
      <c r="F78" s="114" t="s">
        <v>12</v>
      </c>
      <c r="G78" s="115">
        <v>20</v>
      </c>
      <c r="H78" s="116" t="s">
        <v>851</v>
      </c>
      <c r="I78" s="117" t="s">
        <v>276</v>
      </c>
      <c r="J78" s="111" t="s">
        <v>282</v>
      </c>
      <c r="K78" s="128" t="s">
        <v>27</v>
      </c>
      <c r="L78" s="112">
        <v>-5.1216049999999997</v>
      </c>
      <c r="M78" s="118">
        <v>-79.460644000000002</v>
      </c>
    </row>
    <row r="79" spans="1:13" ht="102.75" customHeight="1">
      <c r="A79" s="225">
        <v>98</v>
      </c>
      <c r="B79" s="197" t="s">
        <v>472</v>
      </c>
      <c r="C79" s="113">
        <v>46051</v>
      </c>
      <c r="D79" s="136" t="s">
        <v>473</v>
      </c>
      <c r="E79" s="126" t="s">
        <v>475</v>
      </c>
      <c r="F79" s="114" t="s">
        <v>12</v>
      </c>
      <c r="G79" s="115">
        <v>30</v>
      </c>
      <c r="H79" s="116" t="s">
        <v>852</v>
      </c>
      <c r="I79" s="117" t="s">
        <v>474</v>
      </c>
      <c r="J79" s="111" t="s">
        <v>436</v>
      </c>
      <c r="K79" s="128" t="s">
        <v>27</v>
      </c>
      <c r="L79" s="112">
        <v>-5.3221980000000002</v>
      </c>
      <c r="M79" s="118">
        <v>-79.287218999999993</v>
      </c>
    </row>
    <row r="80" spans="1:13" ht="102.75" customHeight="1">
      <c r="A80" s="225">
        <v>97</v>
      </c>
      <c r="B80" s="197" t="s">
        <v>504</v>
      </c>
      <c r="C80" s="113">
        <v>46050</v>
      </c>
      <c r="D80" s="136" t="s">
        <v>419</v>
      </c>
      <c r="E80" s="120" t="s">
        <v>503</v>
      </c>
      <c r="F80" s="114" t="s">
        <v>12</v>
      </c>
      <c r="G80" s="193">
        <v>60</v>
      </c>
      <c r="H80" s="116" t="s">
        <v>853</v>
      </c>
      <c r="I80" s="117" t="s">
        <v>515</v>
      </c>
      <c r="J80" s="111" t="s">
        <v>212</v>
      </c>
      <c r="K80" s="128" t="s">
        <v>27</v>
      </c>
      <c r="L80" s="194">
        <v>-10.916411999999999</v>
      </c>
      <c r="M80" s="195">
        <v>-74.886126000000004</v>
      </c>
    </row>
    <row r="81" spans="1:13" ht="102">
      <c r="A81" s="225">
        <v>96</v>
      </c>
      <c r="B81" s="197" t="s">
        <v>476</v>
      </c>
      <c r="C81" s="113">
        <v>46050</v>
      </c>
      <c r="D81" s="136" t="s">
        <v>155</v>
      </c>
      <c r="E81" s="126" t="s">
        <v>477</v>
      </c>
      <c r="F81" s="114" t="s">
        <v>12</v>
      </c>
      <c r="G81" s="115">
        <v>70</v>
      </c>
      <c r="H81" s="116" t="s">
        <v>854</v>
      </c>
      <c r="I81" s="117" t="s">
        <v>484</v>
      </c>
      <c r="J81" s="111" t="s">
        <v>407</v>
      </c>
      <c r="K81" s="128" t="s">
        <v>27</v>
      </c>
      <c r="L81" s="112">
        <v>-13.76042</v>
      </c>
      <c r="M81" s="118">
        <v>-72.883431999999999</v>
      </c>
    </row>
    <row r="82" spans="1:13" ht="114" customHeight="1">
      <c r="A82" s="225">
        <v>95</v>
      </c>
      <c r="B82" s="197" t="s">
        <v>471</v>
      </c>
      <c r="C82" s="113">
        <v>46050</v>
      </c>
      <c r="D82" s="136" t="s">
        <v>413</v>
      </c>
      <c r="E82" s="126" t="s">
        <v>470</v>
      </c>
      <c r="F82" s="114" t="s">
        <v>12</v>
      </c>
      <c r="G82" s="115">
        <v>50</v>
      </c>
      <c r="H82" s="116" t="s">
        <v>855</v>
      </c>
      <c r="I82" s="117" t="s">
        <v>485</v>
      </c>
      <c r="J82" s="111" t="s">
        <v>378</v>
      </c>
      <c r="K82" s="128" t="s">
        <v>27</v>
      </c>
      <c r="L82" s="112">
        <v>-4.792948</v>
      </c>
      <c r="M82" s="118">
        <v>-78.170235000000005</v>
      </c>
    </row>
    <row r="83" spans="1:13" ht="114" customHeight="1">
      <c r="A83" s="225">
        <v>94</v>
      </c>
      <c r="B83" s="197" t="s">
        <v>467</v>
      </c>
      <c r="C83" s="113">
        <v>46050</v>
      </c>
      <c r="D83" s="136" t="s">
        <v>466</v>
      </c>
      <c r="E83" s="120" t="s">
        <v>517</v>
      </c>
      <c r="F83" s="114" t="s">
        <v>12</v>
      </c>
      <c r="G83" s="115">
        <v>35</v>
      </c>
      <c r="H83" s="116" t="s">
        <v>856</v>
      </c>
      <c r="I83" s="117" t="s">
        <v>25</v>
      </c>
      <c r="J83" s="111" t="s">
        <v>406</v>
      </c>
      <c r="K83" s="144" t="s">
        <v>27</v>
      </c>
      <c r="L83" s="112">
        <v>-13.767265</v>
      </c>
      <c r="M83" s="118">
        <v>-72.299885000000003</v>
      </c>
    </row>
    <row r="84" spans="1:13" ht="100.5" customHeight="1">
      <c r="A84" s="225">
        <v>93</v>
      </c>
      <c r="B84" s="197" t="s">
        <v>447</v>
      </c>
      <c r="C84" s="113">
        <v>46050</v>
      </c>
      <c r="D84" s="136" t="s">
        <v>448</v>
      </c>
      <c r="E84" s="126" t="s">
        <v>482</v>
      </c>
      <c r="F84" s="114" t="s">
        <v>12</v>
      </c>
      <c r="G84" s="115" t="s">
        <v>90</v>
      </c>
      <c r="H84" s="116" t="s">
        <v>857</v>
      </c>
      <c r="I84" s="117" t="s">
        <v>25</v>
      </c>
      <c r="J84" s="111" t="s">
        <v>443</v>
      </c>
      <c r="K84" s="128" t="s">
        <v>27</v>
      </c>
      <c r="L84" s="112">
        <v>-15.512831</v>
      </c>
      <c r="M84" s="118">
        <v>-74.838633999999999</v>
      </c>
    </row>
    <row r="85" spans="1:13" ht="135.75" customHeight="1">
      <c r="A85" s="225">
        <v>92</v>
      </c>
      <c r="B85" s="202" t="s">
        <v>625</v>
      </c>
      <c r="C85" s="113">
        <v>46049</v>
      </c>
      <c r="D85" s="136" t="s">
        <v>160</v>
      </c>
      <c r="E85" s="120" t="s">
        <v>626</v>
      </c>
      <c r="F85" s="114" t="s">
        <v>12</v>
      </c>
      <c r="G85" s="115">
        <v>10</v>
      </c>
      <c r="H85" s="116" t="s">
        <v>858</v>
      </c>
      <c r="I85" s="117" t="s">
        <v>25</v>
      </c>
      <c r="J85" s="111" t="s">
        <v>353</v>
      </c>
      <c r="K85" s="128" t="s">
        <v>27</v>
      </c>
      <c r="L85" s="112">
        <v>-16.777283000000001</v>
      </c>
      <c r="M85" s="118">
        <v>-70.906430999999998</v>
      </c>
    </row>
    <row r="86" spans="1:13" ht="89.25">
      <c r="A86" s="225">
        <v>91</v>
      </c>
      <c r="B86" s="197" t="s">
        <v>442</v>
      </c>
      <c r="C86" s="113">
        <v>46049</v>
      </c>
      <c r="D86" s="135" t="s">
        <v>356</v>
      </c>
      <c r="E86" s="126" t="s">
        <v>445</v>
      </c>
      <c r="F86" s="114" t="s">
        <v>12</v>
      </c>
      <c r="G86" s="159">
        <v>140</v>
      </c>
      <c r="H86" s="116" t="s">
        <v>859</v>
      </c>
      <c r="I86" s="117" t="s">
        <v>575</v>
      </c>
      <c r="J86" s="111" t="s">
        <v>574</v>
      </c>
      <c r="K86" s="128" t="s">
        <v>27</v>
      </c>
      <c r="L86" s="112">
        <v>-9.7616650000000007</v>
      </c>
      <c r="M86" s="118">
        <v>-75.508792</v>
      </c>
    </row>
    <row r="87" spans="1:13" ht="96" customHeight="1">
      <c r="A87" s="225">
        <v>90</v>
      </c>
      <c r="B87" s="197" t="s">
        <v>498</v>
      </c>
      <c r="C87" s="113">
        <v>46049</v>
      </c>
      <c r="D87" s="154" t="s">
        <v>496</v>
      </c>
      <c r="E87" s="120" t="s">
        <v>497</v>
      </c>
      <c r="F87" s="114" t="s">
        <v>12</v>
      </c>
      <c r="G87" s="121" t="s">
        <v>90</v>
      </c>
      <c r="H87" s="116" t="s">
        <v>860</v>
      </c>
      <c r="I87" s="117" t="s">
        <v>25</v>
      </c>
      <c r="J87" s="111" t="s">
        <v>314</v>
      </c>
      <c r="K87" s="128" t="s">
        <v>27</v>
      </c>
      <c r="L87" s="112">
        <v>-8.1931670000000008</v>
      </c>
      <c r="M87" s="118">
        <v>-77.964049000000003</v>
      </c>
    </row>
    <row r="88" spans="1:13" ht="106.5" customHeight="1">
      <c r="A88" s="225">
        <v>89</v>
      </c>
      <c r="B88" s="197" t="s">
        <v>486</v>
      </c>
      <c r="C88" s="113">
        <v>46049</v>
      </c>
      <c r="D88" s="154" t="s">
        <v>478</v>
      </c>
      <c r="E88" s="120" t="s">
        <v>479</v>
      </c>
      <c r="F88" s="114" t="s">
        <v>12</v>
      </c>
      <c r="G88" s="121" t="s">
        <v>90</v>
      </c>
      <c r="H88" s="116" t="s">
        <v>861</v>
      </c>
      <c r="I88" s="117" t="s">
        <v>25</v>
      </c>
      <c r="J88" s="111" t="s">
        <v>457</v>
      </c>
      <c r="K88" s="128" t="s">
        <v>27</v>
      </c>
      <c r="L88" s="112">
        <v>-8.0034109999999998</v>
      </c>
      <c r="M88" s="118">
        <v>-78.313627999999994</v>
      </c>
    </row>
    <row r="89" spans="1:13" ht="106.5" customHeight="1">
      <c r="A89" s="225">
        <v>88</v>
      </c>
      <c r="B89" s="197" t="s">
        <v>455</v>
      </c>
      <c r="C89" s="113">
        <v>46049</v>
      </c>
      <c r="D89" s="134" t="s">
        <v>456</v>
      </c>
      <c r="E89" s="120" t="s">
        <v>595</v>
      </c>
      <c r="F89" s="114" t="s">
        <v>12</v>
      </c>
      <c r="G89" s="115">
        <v>150</v>
      </c>
      <c r="H89" s="116" t="s">
        <v>862</v>
      </c>
      <c r="I89" s="117" t="s">
        <v>487</v>
      </c>
      <c r="J89" s="111" t="s">
        <v>457</v>
      </c>
      <c r="K89" s="128" t="s">
        <v>27</v>
      </c>
      <c r="L89" s="112">
        <v>-8.5167059999999992</v>
      </c>
      <c r="M89" s="118">
        <v>-77.295800999999997</v>
      </c>
    </row>
    <row r="90" spans="1:13" ht="106.5" customHeight="1">
      <c r="A90" s="225">
        <v>87</v>
      </c>
      <c r="B90" s="197" t="s">
        <v>454</v>
      </c>
      <c r="C90" s="113">
        <v>46049</v>
      </c>
      <c r="D90" s="136" t="s">
        <v>419</v>
      </c>
      <c r="E90" s="120" t="s">
        <v>513</v>
      </c>
      <c r="F90" s="114" t="s">
        <v>12</v>
      </c>
      <c r="G90" s="193">
        <v>10</v>
      </c>
      <c r="H90" s="116" t="s">
        <v>863</v>
      </c>
      <c r="I90" s="117" t="s">
        <v>421</v>
      </c>
      <c r="J90" s="111" t="s">
        <v>244</v>
      </c>
      <c r="K90" s="128" t="s">
        <v>27</v>
      </c>
      <c r="L90" s="194">
        <v>-10.900788</v>
      </c>
      <c r="M90" s="195">
        <v>-74.904053000000005</v>
      </c>
    </row>
    <row r="91" spans="1:13" ht="106.5" customHeight="1">
      <c r="A91" s="225">
        <v>86</v>
      </c>
      <c r="B91" s="197" t="s">
        <v>453</v>
      </c>
      <c r="C91" s="113">
        <v>46049</v>
      </c>
      <c r="D91" s="136" t="s">
        <v>451</v>
      </c>
      <c r="E91" s="120" t="s">
        <v>452</v>
      </c>
      <c r="F91" s="114" t="s">
        <v>12</v>
      </c>
      <c r="G91" s="115" t="s">
        <v>90</v>
      </c>
      <c r="H91" s="116" t="s">
        <v>864</v>
      </c>
      <c r="I91" s="117" t="s">
        <v>25</v>
      </c>
      <c r="J91" s="111" t="s">
        <v>353</v>
      </c>
      <c r="K91" s="128" t="s">
        <v>27</v>
      </c>
      <c r="L91" s="194">
        <v>-17.8005057175689</v>
      </c>
      <c r="M91" s="195">
        <v>-69.986257483057699</v>
      </c>
    </row>
    <row r="92" spans="1:13" ht="106.5" customHeight="1">
      <c r="A92" s="225">
        <v>85</v>
      </c>
      <c r="B92" s="197" t="s">
        <v>438</v>
      </c>
      <c r="C92" s="113">
        <v>46049</v>
      </c>
      <c r="D92" s="135" t="s">
        <v>514</v>
      </c>
      <c r="E92" s="126" t="s">
        <v>435</v>
      </c>
      <c r="F92" s="114" t="s">
        <v>12</v>
      </c>
      <c r="G92" s="115">
        <v>65</v>
      </c>
      <c r="H92" s="116" t="s">
        <v>865</v>
      </c>
      <c r="I92" s="117" t="s">
        <v>446</v>
      </c>
      <c r="J92" s="111" t="s">
        <v>436</v>
      </c>
      <c r="K92" s="128" t="s">
        <v>27</v>
      </c>
      <c r="L92" s="112">
        <v>-5.4207290204882304</v>
      </c>
      <c r="M92" s="118">
        <v>-79.080920262737294</v>
      </c>
    </row>
    <row r="93" spans="1:13" ht="106.5" customHeight="1">
      <c r="A93" s="225">
        <v>84</v>
      </c>
      <c r="B93" s="202" t="s">
        <v>425</v>
      </c>
      <c r="C93" s="113">
        <v>46048</v>
      </c>
      <c r="D93" s="136" t="s">
        <v>426</v>
      </c>
      <c r="E93" s="126" t="s">
        <v>695</v>
      </c>
      <c r="F93" s="114" t="s">
        <v>12</v>
      </c>
      <c r="G93" s="115">
        <v>120</v>
      </c>
      <c r="H93" s="116" t="s">
        <v>866</v>
      </c>
      <c r="I93" s="117" t="s">
        <v>637</v>
      </c>
      <c r="J93" s="111" t="s">
        <v>427</v>
      </c>
      <c r="K93" s="128" t="s">
        <v>27</v>
      </c>
      <c r="L93" s="166">
        <v>-13.513500000000001</v>
      </c>
      <c r="M93" s="167">
        <v>-70.899799999999999</v>
      </c>
    </row>
    <row r="94" spans="1:13" ht="100.5" customHeight="1">
      <c r="A94" s="225">
        <v>83</v>
      </c>
      <c r="B94" s="197" t="s">
        <v>461</v>
      </c>
      <c r="C94" s="113">
        <v>46048</v>
      </c>
      <c r="D94" s="135" t="s">
        <v>462</v>
      </c>
      <c r="E94" s="120" t="s">
        <v>463</v>
      </c>
      <c r="F94" s="114" t="s">
        <v>12</v>
      </c>
      <c r="G94" s="115">
        <v>120</v>
      </c>
      <c r="H94" s="116" t="s">
        <v>867</v>
      </c>
      <c r="I94" s="117" t="s">
        <v>25</v>
      </c>
      <c r="J94" s="111" t="s">
        <v>283</v>
      </c>
      <c r="K94" s="128" t="s">
        <v>27</v>
      </c>
      <c r="L94" s="112">
        <v>-4.2780189999999996</v>
      </c>
      <c r="M94" s="118">
        <v>-81.203856000000002</v>
      </c>
    </row>
    <row r="95" spans="1:13" ht="108" customHeight="1">
      <c r="A95" s="225">
        <v>82</v>
      </c>
      <c r="B95" s="197" t="s">
        <v>464</v>
      </c>
      <c r="C95" s="113">
        <v>46048</v>
      </c>
      <c r="D95" s="135" t="s">
        <v>462</v>
      </c>
      <c r="E95" s="120" t="s">
        <v>465</v>
      </c>
      <c r="F95" s="114" t="s">
        <v>12</v>
      </c>
      <c r="G95" s="115">
        <v>120</v>
      </c>
      <c r="H95" s="116" t="s">
        <v>867</v>
      </c>
      <c r="I95" s="117" t="s">
        <v>25</v>
      </c>
      <c r="J95" s="111" t="s">
        <v>283</v>
      </c>
      <c r="K95" s="128" t="s">
        <v>27</v>
      </c>
      <c r="L95" s="112">
        <v>-4.3365830000000001</v>
      </c>
      <c r="M95" s="118">
        <v>-81.135981000000001</v>
      </c>
    </row>
    <row r="96" spans="1:13" ht="76.5">
      <c r="A96" s="225">
        <v>81</v>
      </c>
      <c r="B96" s="197" t="s">
        <v>441</v>
      </c>
      <c r="C96" s="113">
        <v>46048</v>
      </c>
      <c r="D96" s="135" t="s">
        <v>440</v>
      </c>
      <c r="E96" s="126" t="s">
        <v>698</v>
      </c>
      <c r="F96" s="114" t="s">
        <v>12</v>
      </c>
      <c r="G96" s="115" t="s">
        <v>90</v>
      </c>
      <c r="H96" s="116" t="s">
        <v>868</v>
      </c>
      <c r="I96" s="117" t="s">
        <v>25</v>
      </c>
      <c r="J96" s="111" t="s">
        <v>443</v>
      </c>
      <c r="K96" s="128" t="s">
        <v>27</v>
      </c>
      <c r="L96" s="112">
        <v>-13.420954999999999</v>
      </c>
      <c r="M96" s="118">
        <v>-75.965509999999995</v>
      </c>
    </row>
    <row r="97" spans="1:13" ht="103.5" customHeight="1">
      <c r="A97" s="225">
        <v>80</v>
      </c>
      <c r="B97" s="197" t="s">
        <v>422</v>
      </c>
      <c r="C97" s="113">
        <v>46048</v>
      </c>
      <c r="D97" s="135" t="s">
        <v>423</v>
      </c>
      <c r="E97" s="126" t="s">
        <v>424</v>
      </c>
      <c r="F97" s="114" t="s">
        <v>12</v>
      </c>
      <c r="G97" s="115">
        <v>500</v>
      </c>
      <c r="H97" s="116" t="s">
        <v>869</v>
      </c>
      <c r="I97" s="117" t="s">
        <v>428</v>
      </c>
      <c r="J97" s="111" t="s">
        <v>286</v>
      </c>
      <c r="K97" s="128" t="s">
        <v>27</v>
      </c>
      <c r="L97" s="112">
        <v>-10.303898</v>
      </c>
      <c r="M97" s="118">
        <v>-75.972622000000001</v>
      </c>
    </row>
    <row r="98" spans="1:13" ht="103.5" customHeight="1">
      <c r="A98" s="225">
        <v>79</v>
      </c>
      <c r="B98" s="197" t="s">
        <v>415</v>
      </c>
      <c r="C98" s="113">
        <v>46045</v>
      </c>
      <c r="D98" s="136" t="s">
        <v>413</v>
      </c>
      <c r="E98" s="126" t="s">
        <v>414</v>
      </c>
      <c r="F98" s="114" t="s">
        <v>12</v>
      </c>
      <c r="G98" s="115">
        <v>20</v>
      </c>
      <c r="H98" s="116" t="s">
        <v>870</v>
      </c>
      <c r="I98" s="117" t="s">
        <v>377</v>
      </c>
      <c r="J98" s="111" t="s">
        <v>378</v>
      </c>
      <c r="K98" s="128" t="s">
        <v>27</v>
      </c>
      <c r="L98" s="191">
        <v>-4.8466279999999999</v>
      </c>
      <c r="M98" s="192">
        <v>78.173344999999998</v>
      </c>
    </row>
    <row r="99" spans="1:13" ht="103.5" customHeight="1">
      <c r="A99" s="225">
        <v>78</v>
      </c>
      <c r="B99" s="197" t="s">
        <v>469</v>
      </c>
      <c r="C99" s="113">
        <v>46044</v>
      </c>
      <c r="D99" s="135" t="s">
        <v>359</v>
      </c>
      <c r="E99" s="126" t="s">
        <v>468</v>
      </c>
      <c r="F99" s="114" t="s">
        <v>12</v>
      </c>
      <c r="G99" s="115">
        <v>50</v>
      </c>
      <c r="H99" s="116" t="s">
        <v>871</v>
      </c>
      <c r="I99" s="117" t="s">
        <v>25</v>
      </c>
      <c r="J99" s="111" t="s">
        <v>353</v>
      </c>
      <c r="K99" s="128" t="s">
        <v>27</v>
      </c>
      <c r="L99" s="112">
        <v>-16.646674999999998</v>
      </c>
      <c r="M99" s="118">
        <v>-71.014674999999997</v>
      </c>
    </row>
    <row r="100" spans="1:13" ht="85.5" customHeight="1">
      <c r="A100" s="225">
        <v>77</v>
      </c>
      <c r="B100" s="197" t="s">
        <v>450</v>
      </c>
      <c r="C100" s="113">
        <v>46044</v>
      </c>
      <c r="D100" s="134" t="s">
        <v>449</v>
      </c>
      <c r="E100" s="120" t="s">
        <v>689</v>
      </c>
      <c r="F100" s="114" t="s">
        <v>12</v>
      </c>
      <c r="G100" s="193"/>
      <c r="H100" s="116" t="s">
        <v>872</v>
      </c>
      <c r="I100" s="117" t="s">
        <v>25</v>
      </c>
      <c r="J100" s="130" t="s">
        <v>211</v>
      </c>
      <c r="K100" s="128" t="s">
        <v>27</v>
      </c>
      <c r="L100" s="194">
        <v>-12.493069999999999</v>
      </c>
      <c r="M100" s="195">
        <v>-75.910574999999994</v>
      </c>
    </row>
    <row r="101" spans="1:13" ht="105.75" customHeight="1">
      <c r="A101" s="225">
        <v>76</v>
      </c>
      <c r="B101" s="197" t="s">
        <v>403</v>
      </c>
      <c r="C101" s="113">
        <v>46044</v>
      </c>
      <c r="D101" s="134" t="s">
        <v>405</v>
      </c>
      <c r="E101" s="120" t="s">
        <v>404</v>
      </c>
      <c r="F101" s="114" t="s">
        <v>12</v>
      </c>
      <c r="G101" s="115">
        <v>150</v>
      </c>
      <c r="H101" s="116" t="s">
        <v>873</v>
      </c>
      <c r="I101" s="117" t="s">
        <v>25</v>
      </c>
      <c r="J101" s="111" t="s">
        <v>406</v>
      </c>
      <c r="K101" s="128" t="s">
        <v>27</v>
      </c>
      <c r="L101" s="112">
        <v>-13.485531</v>
      </c>
      <c r="M101" s="118">
        <v>-72.923355000000001</v>
      </c>
    </row>
    <row r="102" spans="1:13" s="275" customFormat="1" ht="111" customHeight="1">
      <c r="A102" s="225">
        <v>75</v>
      </c>
      <c r="B102" s="197" t="s">
        <v>408</v>
      </c>
      <c r="C102" s="113">
        <v>46044</v>
      </c>
      <c r="D102" s="134" t="s">
        <v>409</v>
      </c>
      <c r="E102" s="120" t="s">
        <v>410</v>
      </c>
      <c r="F102" s="114" t="s">
        <v>12</v>
      </c>
      <c r="G102" s="115">
        <v>860</v>
      </c>
      <c r="H102" s="116" t="s">
        <v>874</v>
      </c>
      <c r="I102" s="117" t="s">
        <v>411</v>
      </c>
      <c r="J102" s="111" t="s">
        <v>407</v>
      </c>
      <c r="K102" s="128" t="s">
        <v>27</v>
      </c>
      <c r="L102" s="112">
        <v>-13.110654</v>
      </c>
      <c r="M102" s="118">
        <v>-72.600886000000003</v>
      </c>
    </row>
    <row r="103" spans="1:13" ht="76.5">
      <c r="A103" s="225">
        <v>74</v>
      </c>
      <c r="B103" s="197" t="s">
        <v>400</v>
      </c>
      <c r="C103" s="113">
        <v>46044</v>
      </c>
      <c r="D103" s="135" t="s">
        <v>401</v>
      </c>
      <c r="E103" s="120" t="s">
        <v>593</v>
      </c>
      <c r="F103" s="114" t="s">
        <v>12</v>
      </c>
      <c r="G103" s="161">
        <v>120</v>
      </c>
      <c r="H103" s="116" t="s">
        <v>875</v>
      </c>
      <c r="I103" s="117" t="s">
        <v>402</v>
      </c>
      <c r="J103" s="111" t="s">
        <v>282</v>
      </c>
      <c r="K103" s="128" t="s">
        <v>27</v>
      </c>
      <c r="L103" s="158">
        <v>-5.9958628999999997</v>
      </c>
      <c r="M103" s="162">
        <v>-80.578648999999999</v>
      </c>
    </row>
    <row r="104" spans="1:13" s="275" customFormat="1" ht="76.5">
      <c r="A104" s="225">
        <v>73</v>
      </c>
      <c r="B104" s="197" t="s">
        <v>418</v>
      </c>
      <c r="C104" s="113">
        <v>46042</v>
      </c>
      <c r="D104" s="136" t="s">
        <v>419</v>
      </c>
      <c r="E104" s="120" t="s">
        <v>420</v>
      </c>
      <c r="F104" s="114" t="s">
        <v>12</v>
      </c>
      <c r="G104" s="115" t="s">
        <v>90</v>
      </c>
      <c r="H104" s="116" t="s">
        <v>876</v>
      </c>
      <c r="I104" s="117" t="s">
        <v>421</v>
      </c>
      <c r="J104" s="111" t="s">
        <v>244</v>
      </c>
      <c r="K104" s="128" t="s">
        <v>27</v>
      </c>
      <c r="L104" s="112">
        <v>-10.870471999999999</v>
      </c>
      <c r="M104" s="118">
        <v>-75.074770000000001</v>
      </c>
    </row>
    <row r="105" spans="1:13" ht="89.25">
      <c r="A105" s="225">
        <v>72</v>
      </c>
      <c r="B105" s="197" t="s">
        <v>389</v>
      </c>
      <c r="C105" s="113">
        <v>46042</v>
      </c>
      <c r="D105" s="135" t="s">
        <v>390</v>
      </c>
      <c r="E105" s="126" t="s">
        <v>391</v>
      </c>
      <c r="F105" s="114" t="s">
        <v>12</v>
      </c>
      <c r="G105" s="164">
        <v>100</v>
      </c>
      <c r="H105" s="116" t="s">
        <v>877</v>
      </c>
      <c r="I105" s="117" t="s">
        <v>546</v>
      </c>
      <c r="J105" s="111" t="s">
        <v>286</v>
      </c>
      <c r="K105" s="128" t="s">
        <v>27</v>
      </c>
      <c r="L105" s="150">
        <v>-9.2132000000000005</v>
      </c>
      <c r="M105" s="165">
        <v>-76.233599999999996</v>
      </c>
    </row>
    <row r="106" spans="1:13" ht="86.25" customHeight="1">
      <c r="A106" s="225">
        <v>71</v>
      </c>
      <c r="B106" s="197" t="s">
        <v>383</v>
      </c>
      <c r="C106" s="113">
        <v>46042</v>
      </c>
      <c r="D106" s="136" t="s">
        <v>384</v>
      </c>
      <c r="E106" s="120" t="s">
        <v>385</v>
      </c>
      <c r="F106" s="114" t="s">
        <v>12</v>
      </c>
      <c r="G106" s="115" t="s">
        <v>90</v>
      </c>
      <c r="H106" s="116" t="s">
        <v>878</v>
      </c>
      <c r="I106" s="117" t="s">
        <v>386</v>
      </c>
      <c r="J106" s="111" t="s">
        <v>244</v>
      </c>
      <c r="K106" s="128" t="s">
        <v>27</v>
      </c>
      <c r="L106" s="112">
        <v>-12.031338</v>
      </c>
      <c r="M106" s="118">
        <v>-75.232104000000007</v>
      </c>
    </row>
    <row r="107" spans="1:13" ht="76.5">
      <c r="A107" s="225">
        <v>70</v>
      </c>
      <c r="B107" s="197" t="s">
        <v>396</v>
      </c>
      <c r="C107" s="113">
        <v>46041</v>
      </c>
      <c r="D107" s="135" t="s">
        <v>397</v>
      </c>
      <c r="E107" s="126" t="s">
        <v>398</v>
      </c>
      <c r="F107" s="114" t="s">
        <v>12</v>
      </c>
      <c r="G107" s="115">
        <v>50</v>
      </c>
      <c r="H107" s="116" t="s">
        <v>879</v>
      </c>
      <c r="I107" s="117" t="s">
        <v>25</v>
      </c>
      <c r="J107" s="111" t="s">
        <v>353</v>
      </c>
      <c r="K107" s="128" t="s">
        <v>27</v>
      </c>
      <c r="L107" s="155">
        <v>-16.646018000000002</v>
      </c>
      <c r="M107" s="160">
        <v>-71.144598000000002</v>
      </c>
    </row>
    <row r="108" spans="1:13" ht="153">
      <c r="A108" s="225">
        <v>69</v>
      </c>
      <c r="B108" s="197" t="s">
        <v>379</v>
      </c>
      <c r="C108" s="113">
        <v>46041</v>
      </c>
      <c r="D108" s="135" t="s">
        <v>380</v>
      </c>
      <c r="E108" s="126" t="s">
        <v>697</v>
      </c>
      <c r="F108" s="114" t="s">
        <v>12</v>
      </c>
      <c r="G108" s="115">
        <v>30</v>
      </c>
      <c r="H108" s="116" t="s">
        <v>880</v>
      </c>
      <c r="I108" s="117" t="s">
        <v>381</v>
      </c>
      <c r="J108" s="111" t="s">
        <v>382</v>
      </c>
      <c r="K108" s="128" t="s">
        <v>27</v>
      </c>
      <c r="L108" s="112">
        <v>-5.3376330000000003</v>
      </c>
      <c r="M108" s="118">
        <v>-78.796869999999998</v>
      </c>
    </row>
    <row r="109" spans="1:13" ht="97.5" customHeight="1">
      <c r="A109" s="225">
        <v>68</v>
      </c>
      <c r="B109" s="197" t="s">
        <v>369</v>
      </c>
      <c r="C109" s="113">
        <v>46041</v>
      </c>
      <c r="D109" s="136" t="s">
        <v>370</v>
      </c>
      <c r="E109" s="120" t="s">
        <v>371</v>
      </c>
      <c r="F109" s="114" t="s">
        <v>12</v>
      </c>
      <c r="G109" s="115">
        <v>50</v>
      </c>
      <c r="H109" s="116" t="s">
        <v>881</v>
      </c>
      <c r="I109" s="117" t="s">
        <v>25</v>
      </c>
      <c r="J109" s="111" t="s">
        <v>372</v>
      </c>
      <c r="K109" s="128" t="s">
        <v>27</v>
      </c>
      <c r="L109" s="112">
        <v>-17.152782999999999</v>
      </c>
      <c r="M109" s="118">
        <v>-71.786897999999994</v>
      </c>
    </row>
    <row r="110" spans="1:13" ht="89.25">
      <c r="A110" s="225">
        <v>67</v>
      </c>
      <c r="B110" s="197" t="s">
        <v>357</v>
      </c>
      <c r="C110" s="113">
        <v>46040</v>
      </c>
      <c r="D110" s="135" t="s">
        <v>356</v>
      </c>
      <c r="E110" s="126" t="s">
        <v>358</v>
      </c>
      <c r="F110" s="114" t="s">
        <v>12</v>
      </c>
      <c r="G110" s="159">
        <v>100</v>
      </c>
      <c r="H110" s="116" t="s">
        <v>882</v>
      </c>
      <c r="I110" s="117" t="s">
        <v>439</v>
      </c>
      <c r="J110" s="111" t="s">
        <v>574</v>
      </c>
      <c r="K110" s="128" t="s">
        <v>27</v>
      </c>
      <c r="L110" s="155">
        <v>-9.9110420000000001</v>
      </c>
      <c r="M110" s="160">
        <v>-75.530193999999995</v>
      </c>
    </row>
    <row r="111" spans="1:13" ht="76.5">
      <c r="A111" s="225">
        <v>66</v>
      </c>
      <c r="B111" s="197" t="s">
        <v>366</v>
      </c>
      <c r="C111" s="113">
        <v>46038</v>
      </c>
      <c r="D111" s="135" t="s">
        <v>367</v>
      </c>
      <c r="E111" s="126" t="s">
        <v>368</v>
      </c>
      <c r="F111" s="114" t="s">
        <v>12</v>
      </c>
      <c r="G111" s="115">
        <v>1</v>
      </c>
      <c r="H111" s="116" t="s">
        <v>883</v>
      </c>
      <c r="I111" s="117" t="s">
        <v>25</v>
      </c>
      <c r="J111" s="111" t="s">
        <v>212</v>
      </c>
      <c r="K111" s="128" t="s">
        <v>27</v>
      </c>
      <c r="L111" s="155">
        <v>-11.39315</v>
      </c>
      <c r="M111" s="160">
        <v>-74.751786999999993</v>
      </c>
    </row>
    <row r="112" spans="1:13" ht="76.5">
      <c r="A112" s="225">
        <v>65</v>
      </c>
      <c r="B112" s="197" t="s">
        <v>355</v>
      </c>
      <c r="C112" s="113">
        <v>46038</v>
      </c>
      <c r="D112" s="135" t="s">
        <v>352</v>
      </c>
      <c r="E112" s="126" t="s">
        <v>354</v>
      </c>
      <c r="F112" s="114" t="s">
        <v>12</v>
      </c>
      <c r="G112" s="115" t="s">
        <v>90</v>
      </c>
      <c r="H112" s="116" t="s">
        <v>884</v>
      </c>
      <c r="I112" s="117" t="s">
        <v>25</v>
      </c>
      <c r="J112" s="111" t="s">
        <v>353</v>
      </c>
      <c r="K112" s="128" t="s">
        <v>27</v>
      </c>
      <c r="L112" s="112">
        <v>-16.817536</v>
      </c>
      <c r="M112" s="118">
        <v>-70.892966000000001</v>
      </c>
    </row>
    <row r="113" spans="1:13" ht="85.5" customHeight="1">
      <c r="A113" s="225">
        <v>64</v>
      </c>
      <c r="B113" s="197" t="s">
        <v>363</v>
      </c>
      <c r="C113" s="113">
        <v>46037</v>
      </c>
      <c r="D113" s="135" t="s">
        <v>338</v>
      </c>
      <c r="E113" s="126" t="s">
        <v>364</v>
      </c>
      <c r="F113" s="114" t="s">
        <v>12</v>
      </c>
      <c r="G113" s="115">
        <v>300</v>
      </c>
      <c r="H113" s="116" t="s">
        <v>885</v>
      </c>
      <c r="I113" s="117" t="s">
        <v>365</v>
      </c>
      <c r="J113" s="111" t="s">
        <v>280</v>
      </c>
      <c r="K113" s="128" t="s">
        <v>27</v>
      </c>
      <c r="L113" s="112">
        <v>-10.978031</v>
      </c>
      <c r="M113" s="118">
        <v>-74.266900000000007</v>
      </c>
    </row>
    <row r="114" spans="1:13" ht="94.5" customHeight="1">
      <c r="A114" s="225">
        <v>63</v>
      </c>
      <c r="B114" s="197" t="s">
        <v>332</v>
      </c>
      <c r="C114" s="113">
        <v>46037</v>
      </c>
      <c r="D114" s="136" t="s">
        <v>344</v>
      </c>
      <c r="E114" s="126" t="s">
        <v>346</v>
      </c>
      <c r="F114" s="114" t="s">
        <v>12</v>
      </c>
      <c r="G114" s="115">
        <v>100</v>
      </c>
      <c r="H114" s="116" t="s">
        <v>886</v>
      </c>
      <c r="I114" s="117" t="s">
        <v>345</v>
      </c>
      <c r="J114" s="111" t="s">
        <v>127</v>
      </c>
      <c r="K114" s="128" t="s">
        <v>27</v>
      </c>
      <c r="L114" s="166">
        <v>-5.9168000000000003</v>
      </c>
      <c r="M114" s="167">
        <v>-78.0214</v>
      </c>
    </row>
    <row r="115" spans="1:13" ht="89.25">
      <c r="A115" s="225">
        <v>62</v>
      </c>
      <c r="B115" s="197" t="s">
        <v>349</v>
      </c>
      <c r="C115" s="113">
        <v>46037</v>
      </c>
      <c r="D115" s="154" t="s">
        <v>347</v>
      </c>
      <c r="E115" s="126" t="s">
        <v>351</v>
      </c>
      <c r="F115" s="114" t="s">
        <v>12</v>
      </c>
      <c r="G115" s="115" t="s">
        <v>90</v>
      </c>
      <c r="H115" s="116" t="s">
        <v>887</v>
      </c>
      <c r="I115" s="117" t="s">
        <v>350</v>
      </c>
      <c r="J115" s="111" t="s">
        <v>348</v>
      </c>
      <c r="K115" s="128" t="s">
        <v>27</v>
      </c>
      <c r="L115" s="112">
        <v>-5.4343629779472797</v>
      </c>
      <c r="M115" s="118">
        <v>-79.769169688224807</v>
      </c>
    </row>
    <row r="116" spans="1:13" ht="86.25" customHeight="1">
      <c r="A116" s="225">
        <v>61</v>
      </c>
      <c r="B116" s="197" t="s">
        <v>339</v>
      </c>
      <c r="C116" s="113">
        <v>46037</v>
      </c>
      <c r="D116" s="135" t="s">
        <v>340</v>
      </c>
      <c r="E116" s="126" t="s">
        <v>341</v>
      </c>
      <c r="F116" s="114" t="s">
        <v>12</v>
      </c>
      <c r="G116" s="115">
        <v>200</v>
      </c>
      <c r="H116" s="116" t="s">
        <v>797</v>
      </c>
      <c r="I116" s="117" t="s">
        <v>258</v>
      </c>
      <c r="J116" s="130" t="s">
        <v>211</v>
      </c>
      <c r="K116" s="128" t="s">
        <v>27</v>
      </c>
      <c r="L116" s="112">
        <v>-12.125878999999999</v>
      </c>
      <c r="M116" s="118">
        <v>-76.193769000000003</v>
      </c>
    </row>
    <row r="117" spans="1:13" ht="76.5">
      <c r="A117" s="225">
        <v>60</v>
      </c>
      <c r="B117" s="197" t="s">
        <v>333</v>
      </c>
      <c r="C117" s="113">
        <v>46037</v>
      </c>
      <c r="D117" s="135" t="s">
        <v>334</v>
      </c>
      <c r="E117" s="126" t="s">
        <v>337</v>
      </c>
      <c r="F117" s="114" t="s">
        <v>12</v>
      </c>
      <c r="G117" s="115">
        <v>300</v>
      </c>
      <c r="H117" s="116" t="s">
        <v>796</v>
      </c>
      <c r="I117" s="117" t="s">
        <v>25</v>
      </c>
      <c r="J117" s="111" t="s">
        <v>280</v>
      </c>
      <c r="K117" s="128" t="s">
        <v>27</v>
      </c>
      <c r="L117" s="112">
        <v>-10.786257000000001</v>
      </c>
      <c r="M117" s="118">
        <v>-73.763780999999994</v>
      </c>
    </row>
    <row r="118" spans="1:13" ht="106.5" customHeight="1">
      <c r="A118" s="225">
        <v>59</v>
      </c>
      <c r="B118" s="197" t="s">
        <v>328</v>
      </c>
      <c r="C118" s="113">
        <v>46037</v>
      </c>
      <c r="D118" s="135" t="s">
        <v>326</v>
      </c>
      <c r="E118" s="126" t="s">
        <v>327</v>
      </c>
      <c r="F118" s="114" t="s">
        <v>12</v>
      </c>
      <c r="G118" s="115">
        <v>20</v>
      </c>
      <c r="H118" s="116" t="s">
        <v>798</v>
      </c>
      <c r="I118" s="117" t="s">
        <v>25</v>
      </c>
      <c r="J118" s="111" t="s">
        <v>280</v>
      </c>
      <c r="K118" s="128" t="s">
        <v>27</v>
      </c>
      <c r="L118" s="112">
        <v>-12.131539</v>
      </c>
      <c r="M118" s="118">
        <v>-75.170634000000007</v>
      </c>
    </row>
    <row r="119" spans="1:13" ht="76.5">
      <c r="A119" s="225">
        <v>58</v>
      </c>
      <c r="B119" s="197" t="s">
        <v>460</v>
      </c>
      <c r="C119" s="113">
        <v>46036</v>
      </c>
      <c r="D119" s="136" t="s">
        <v>458</v>
      </c>
      <c r="E119" s="126" t="s">
        <v>483</v>
      </c>
      <c r="F119" s="114" t="s">
        <v>12</v>
      </c>
      <c r="G119" s="115"/>
      <c r="H119" s="116" t="s">
        <v>795</v>
      </c>
      <c r="I119" s="117" t="s">
        <v>459</v>
      </c>
      <c r="J119" s="111" t="s">
        <v>283</v>
      </c>
      <c r="K119" s="128" t="s">
        <v>27</v>
      </c>
      <c r="L119" s="112">
        <v>-3.7696040000000002</v>
      </c>
      <c r="M119" s="118">
        <v>-80.796075999999999</v>
      </c>
    </row>
    <row r="120" spans="1:13" ht="76.5">
      <c r="A120" s="225">
        <v>57</v>
      </c>
      <c r="B120" s="197" t="s">
        <v>444</v>
      </c>
      <c r="C120" s="113">
        <v>46036</v>
      </c>
      <c r="D120" s="136" t="s">
        <v>426</v>
      </c>
      <c r="E120" s="126" t="s">
        <v>684</v>
      </c>
      <c r="F120" s="114" t="s">
        <v>12</v>
      </c>
      <c r="G120" s="115">
        <v>30</v>
      </c>
      <c r="H120" s="116" t="s">
        <v>794</v>
      </c>
      <c r="I120" s="117" t="s">
        <v>548</v>
      </c>
      <c r="J120" s="111" t="s">
        <v>427</v>
      </c>
      <c r="K120" s="128" t="s">
        <v>27</v>
      </c>
      <c r="L120" s="166">
        <v>-13.5892704874983</v>
      </c>
      <c r="M120" s="167">
        <v>-70.977620780468001</v>
      </c>
    </row>
    <row r="121" spans="1:13" ht="93.75" customHeight="1">
      <c r="A121" s="225">
        <v>56</v>
      </c>
      <c r="B121" s="197" t="s">
        <v>319</v>
      </c>
      <c r="C121" s="113">
        <v>46036</v>
      </c>
      <c r="D121" s="135" t="s">
        <v>320</v>
      </c>
      <c r="E121" s="126" t="s">
        <v>321</v>
      </c>
      <c r="F121" s="114" t="s">
        <v>12</v>
      </c>
      <c r="G121" s="115">
        <v>40</v>
      </c>
      <c r="H121" s="116" t="s">
        <v>793</v>
      </c>
      <c r="I121" s="117" t="s">
        <v>324</v>
      </c>
      <c r="J121" s="111" t="s">
        <v>220</v>
      </c>
      <c r="K121" s="128" t="s">
        <v>27</v>
      </c>
      <c r="L121" s="112">
        <v>-6.3806010000000004</v>
      </c>
      <c r="M121" s="118">
        <v>-77.905387000000005</v>
      </c>
    </row>
    <row r="122" spans="1:13" ht="76.5">
      <c r="A122" s="225">
        <v>55</v>
      </c>
      <c r="B122" s="197" t="s">
        <v>315</v>
      </c>
      <c r="C122" s="113">
        <v>46035</v>
      </c>
      <c r="D122" s="135" t="s">
        <v>316</v>
      </c>
      <c r="E122" s="126" t="s">
        <v>318</v>
      </c>
      <c r="F122" s="114" t="s">
        <v>12</v>
      </c>
      <c r="G122" s="115"/>
      <c r="H122" s="116" t="s">
        <v>792</v>
      </c>
      <c r="I122" s="117" t="s">
        <v>547</v>
      </c>
      <c r="J122" s="111" t="s">
        <v>317</v>
      </c>
      <c r="K122" s="128" t="s">
        <v>27</v>
      </c>
      <c r="L122" s="112">
        <v>-6.9163399999999999</v>
      </c>
      <c r="M122" s="118">
        <v>-78.187225999999995</v>
      </c>
    </row>
    <row r="123" spans="1:13" ht="89.25">
      <c r="A123" s="225">
        <v>54</v>
      </c>
      <c r="B123" s="197" t="s">
        <v>300</v>
      </c>
      <c r="C123" s="113">
        <v>46035</v>
      </c>
      <c r="D123" s="135" t="s">
        <v>301</v>
      </c>
      <c r="E123" s="126" t="s">
        <v>299</v>
      </c>
      <c r="F123" s="114" t="s">
        <v>12</v>
      </c>
      <c r="G123" s="115">
        <v>200</v>
      </c>
      <c r="H123" s="116" t="s">
        <v>791</v>
      </c>
      <c r="I123" s="117" t="s">
        <v>527</v>
      </c>
      <c r="J123" s="111" t="s">
        <v>574</v>
      </c>
      <c r="K123" s="128" t="s">
        <v>27</v>
      </c>
      <c r="L123" s="112">
        <v>-10.312896</v>
      </c>
      <c r="M123" s="118">
        <v>-75.540772000000004</v>
      </c>
    </row>
    <row r="124" spans="1:13" ht="76.5">
      <c r="A124" s="225">
        <v>53</v>
      </c>
      <c r="B124" s="197" t="s">
        <v>295</v>
      </c>
      <c r="C124" s="113">
        <v>46034</v>
      </c>
      <c r="D124" s="135" t="s">
        <v>297</v>
      </c>
      <c r="E124" s="126" t="s">
        <v>296</v>
      </c>
      <c r="F124" s="114" t="s">
        <v>12</v>
      </c>
      <c r="G124" s="115">
        <v>20</v>
      </c>
      <c r="H124" s="116" t="s">
        <v>790</v>
      </c>
      <c r="I124" s="117" t="s">
        <v>294</v>
      </c>
      <c r="J124" s="111" t="s">
        <v>660</v>
      </c>
      <c r="K124" s="128" t="s">
        <v>27</v>
      </c>
      <c r="L124" s="112">
        <v>-8.6742120000000007</v>
      </c>
      <c r="M124" s="118">
        <v>-78.135292000000007</v>
      </c>
    </row>
    <row r="125" spans="1:13" ht="76.5">
      <c r="A125" s="225">
        <v>52</v>
      </c>
      <c r="B125" s="197" t="s">
        <v>360</v>
      </c>
      <c r="C125" s="113">
        <v>46031</v>
      </c>
      <c r="D125" s="135" t="s">
        <v>361</v>
      </c>
      <c r="E125" s="126" t="s">
        <v>362</v>
      </c>
      <c r="F125" s="114" t="s">
        <v>12</v>
      </c>
      <c r="G125" s="164">
        <v>50</v>
      </c>
      <c r="H125" s="116" t="s">
        <v>789</v>
      </c>
      <c r="I125" s="117" t="s">
        <v>628</v>
      </c>
      <c r="J125" s="111" t="s">
        <v>286</v>
      </c>
      <c r="K125" s="128" t="s">
        <v>27</v>
      </c>
      <c r="L125" s="150">
        <v>-10.435058</v>
      </c>
      <c r="M125" s="165">
        <v>-76.436604000000003</v>
      </c>
    </row>
    <row r="126" spans="1:13" ht="76.5">
      <c r="A126" s="225">
        <v>51</v>
      </c>
      <c r="B126" s="197" t="s">
        <v>307</v>
      </c>
      <c r="C126" s="113">
        <v>46028</v>
      </c>
      <c r="D126" s="134" t="s">
        <v>302</v>
      </c>
      <c r="E126" s="120" t="s">
        <v>322</v>
      </c>
      <c r="F126" s="114" t="s">
        <v>12</v>
      </c>
      <c r="G126" s="115">
        <v>30</v>
      </c>
      <c r="H126" s="116" t="s">
        <v>788</v>
      </c>
      <c r="I126" s="117" t="s">
        <v>25</v>
      </c>
      <c r="J126" s="111" t="s">
        <v>406</v>
      </c>
      <c r="K126" s="128" t="s">
        <v>27</v>
      </c>
      <c r="L126" s="112">
        <v>-12.651439</v>
      </c>
      <c r="M126" s="118">
        <v>-72.651438999999996</v>
      </c>
    </row>
    <row r="127" spans="1:13" ht="76.5">
      <c r="A127" s="225">
        <v>50</v>
      </c>
      <c r="B127" s="197" t="s">
        <v>306</v>
      </c>
      <c r="C127" s="113">
        <v>46028</v>
      </c>
      <c r="D127" s="134" t="s">
        <v>302</v>
      </c>
      <c r="E127" s="120" t="s">
        <v>512</v>
      </c>
      <c r="F127" s="114" t="s">
        <v>12</v>
      </c>
      <c r="G127" s="115">
        <v>30</v>
      </c>
      <c r="H127" s="116" t="s">
        <v>787</v>
      </c>
      <c r="I127" s="117" t="s">
        <v>25</v>
      </c>
      <c r="J127" s="111" t="s">
        <v>406</v>
      </c>
      <c r="K127" s="128" t="s">
        <v>27</v>
      </c>
      <c r="L127" s="112">
        <v>-12.829685</v>
      </c>
      <c r="M127" s="118">
        <v>-72.695312000000001</v>
      </c>
    </row>
    <row r="128" spans="1:13" ht="76.5">
      <c r="A128" s="225">
        <v>49</v>
      </c>
      <c r="B128" s="197" t="s">
        <v>305</v>
      </c>
      <c r="C128" s="113">
        <v>46028</v>
      </c>
      <c r="D128" s="134" t="s">
        <v>279</v>
      </c>
      <c r="E128" s="120" t="s">
        <v>511</v>
      </c>
      <c r="F128" s="114" t="s">
        <v>12</v>
      </c>
      <c r="G128" s="115">
        <v>50</v>
      </c>
      <c r="H128" s="116" t="s">
        <v>786</v>
      </c>
      <c r="I128" s="117" t="s">
        <v>25</v>
      </c>
      <c r="J128" s="111" t="s">
        <v>406</v>
      </c>
      <c r="K128" s="128" t="s">
        <v>27</v>
      </c>
      <c r="L128" s="112">
        <v>-12.469692</v>
      </c>
      <c r="M128" s="118">
        <v>-72.636891000000006</v>
      </c>
    </row>
    <row r="129" spans="1:13" ht="76.5">
      <c r="A129" s="225">
        <v>48</v>
      </c>
      <c r="B129" s="197" t="s">
        <v>304</v>
      </c>
      <c r="C129" s="113">
        <v>46028</v>
      </c>
      <c r="D129" s="134" t="s">
        <v>279</v>
      </c>
      <c r="E129" s="120" t="s">
        <v>303</v>
      </c>
      <c r="F129" s="114" t="s">
        <v>12</v>
      </c>
      <c r="G129" s="115">
        <v>30</v>
      </c>
      <c r="H129" s="116" t="s">
        <v>786</v>
      </c>
      <c r="I129" s="117" t="s">
        <v>25</v>
      </c>
      <c r="J129" s="111" t="s">
        <v>406</v>
      </c>
      <c r="K129" s="128" t="s">
        <v>27</v>
      </c>
      <c r="L129" s="112">
        <v>-12.773763000000001</v>
      </c>
      <c r="M129" s="118">
        <v>-72.618403999999998</v>
      </c>
    </row>
    <row r="130" spans="1:13" ht="102">
      <c r="A130" s="225">
        <v>47</v>
      </c>
      <c r="B130" s="197" t="s">
        <v>335</v>
      </c>
      <c r="C130" s="113">
        <v>46023</v>
      </c>
      <c r="D130" s="135" t="s">
        <v>338</v>
      </c>
      <c r="E130" s="126" t="s">
        <v>336</v>
      </c>
      <c r="F130" s="114" t="s">
        <v>12</v>
      </c>
      <c r="G130" s="115" t="s">
        <v>90</v>
      </c>
      <c r="H130" s="116" t="s">
        <v>785</v>
      </c>
      <c r="I130" s="117" t="s">
        <v>395</v>
      </c>
      <c r="J130" s="111" t="s">
        <v>280</v>
      </c>
      <c r="K130" s="128" t="s">
        <v>27</v>
      </c>
      <c r="L130" s="112">
        <v>-10.9032</v>
      </c>
      <c r="M130" s="118">
        <v>-74.0501</v>
      </c>
    </row>
    <row r="131" spans="1:13" ht="111" customHeight="1">
      <c r="A131" s="225">
        <v>46</v>
      </c>
      <c r="B131" s="197" t="s">
        <v>270</v>
      </c>
      <c r="C131" s="113">
        <v>46022</v>
      </c>
      <c r="D131" s="135" t="s">
        <v>269</v>
      </c>
      <c r="E131" s="126" t="s">
        <v>271</v>
      </c>
      <c r="F131" s="114" t="s">
        <v>12</v>
      </c>
      <c r="G131" s="115">
        <v>100</v>
      </c>
      <c r="H131" s="116" t="s">
        <v>784</v>
      </c>
      <c r="I131" s="117" t="s">
        <v>25</v>
      </c>
      <c r="J131" s="111" t="s">
        <v>286</v>
      </c>
      <c r="K131" s="128" t="s">
        <v>27</v>
      </c>
      <c r="L131" s="112">
        <v>-9.3019759999999998</v>
      </c>
      <c r="M131" s="145">
        <v>-76.006518</v>
      </c>
    </row>
    <row r="132" spans="1:13" ht="102">
      <c r="A132" s="225">
        <v>45</v>
      </c>
      <c r="B132" s="197" t="s">
        <v>268</v>
      </c>
      <c r="C132" s="113">
        <v>46021</v>
      </c>
      <c r="D132" s="135" t="s">
        <v>266</v>
      </c>
      <c r="E132" s="129" t="s">
        <v>275</v>
      </c>
      <c r="F132" s="114" t="s">
        <v>12</v>
      </c>
      <c r="G132" s="115" t="s">
        <v>90</v>
      </c>
      <c r="H132" s="116" t="s">
        <v>783</v>
      </c>
      <c r="I132" s="117" t="s">
        <v>267</v>
      </c>
      <c r="J132" s="111" t="s">
        <v>212</v>
      </c>
      <c r="K132" s="128" t="s">
        <v>27</v>
      </c>
      <c r="L132" s="127">
        <v>-11.869448999999999</v>
      </c>
      <c r="M132" s="168">
        <v>-75.283023</v>
      </c>
    </row>
    <row r="133" spans="1:13" ht="89.25">
      <c r="A133" s="225">
        <v>44</v>
      </c>
      <c r="B133" s="197" t="s">
        <v>254</v>
      </c>
      <c r="C133" s="113">
        <v>46012</v>
      </c>
      <c r="D133" s="138" t="s">
        <v>255</v>
      </c>
      <c r="E133" s="129" t="s">
        <v>256</v>
      </c>
      <c r="F133" s="114" t="s">
        <v>12</v>
      </c>
      <c r="G133" s="115" t="s">
        <v>90</v>
      </c>
      <c r="H133" s="116" t="s">
        <v>782</v>
      </c>
      <c r="I133" s="120" t="s">
        <v>25</v>
      </c>
      <c r="J133" s="111" t="s">
        <v>212</v>
      </c>
      <c r="K133" s="144" t="s">
        <v>27</v>
      </c>
      <c r="L133" s="127">
        <v>-11.795396</v>
      </c>
      <c r="M133" s="168">
        <v>-74.216868000000005</v>
      </c>
    </row>
    <row r="134" spans="1:13" ht="89.25">
      <c r="A134" s="225">
        <v>43</v>
      </c>
      <c r="B134" s="197" t="s">
        <v>250</v>
      </c>
      <c r="C134" s="113">
        <v>46008</v>
      </c>
      <c r="D134" s="134" t="s">
        <v>251</v>
      </c>
      <c r="E134" s="126" t="s">
        <v>252</v>
      </c>
      <c r="F134" s="114" t="s">
        <v>12</v>
      </c>
      <c r="G134" s="115">
        <v>700</v>
      </c>
      <c r="H134" s="119" t="s">
        <v>781</v>
      </c>
      <c r="I134" s="120" t="s">
        <v>25</v>
      </c>
      <c r="J134" s="111" t="s">
        <v>283</v>
      </c>
      <c r="K134" s="128" t="s">
        <v>27</v>
      </c>
      <c r="L134" s="172">
        <v>-4.8349710000000004</v>
      </c>
      <c r="M134" s="173">
        <v>-80.898822999999993</v>
      </c>
    </row>
    <row r="135" spans="1:13" ht="114.75">
      <c r="A135" s="225">
        <v>42</v>
      </c>
      <c r="B135" s="197" t="s">
        <v>248</v>
      </c>
      <c r="C135" s="113">
        <v>46004</v>
      </c>
      <c r="D135" s="135" t="s">
        <v>246</v>
      </c>
      <c r="E135" s="126" t="s">
        <v>247</v>
      </c>
      <c r="F135" s="114" t="s">
        <v>12</v>
      </c>
      <c r="G135" s="115">
        <v>15</v>
      </c>
      <c r="H135" s="116" t="s">
        <v>780</v>
      </c>
      <c r="I135" s="117" t="s">
        <v>25</v>
      </c>
      <c r="J135" s="111" t="s">
        <v>286</v>
      </c>
      <c r="K135" s="128" t="s">
        <v>27</v>
      </c>
      <c r="L135" s="112">
        <v>-9.5248849999999994</v>
      </c>
      <c r="M135" s="145">
        <v>-76.847874000000004</v>
      </c>
    </row>
    <row r="136" spans="1:13" ht="89.25">
      <c r="A136" s="225">
        <v>41</v>
      </c>
      <c r="B136" s="197" t="s">
        <v>240</v>
      </c>
      <c r="C136" s="113">
        <v>46004</v>
      </c>
      <c r="D136" s="134" t="s">
        <v>245</v>
      </c>
      <c r="E136" s="120" t="s">
        <v>241</v>
      </c>
      <c r="F136" s="114" t="s">
        <v>12</v>
      </c>
      <c r="G136" s="174">
        <v>15</v>
      </c>
      <c r="H136" s="116" t="s">
        <v>779</v>
      </c>
      <c r="I136" s="117" t="s">
        <v>25</v>
      </c>
      <c r="J136" s="111" t="s">
        <v>286</v>
      </c>
      <c r="K136" s="128" t="s">
        <v>27</v>
      </c>
      <c r="L136" s="175">
        <v>-9.5282929999999997</v>
      </c>
      <c r="M136" s="176">
        <v>-76.886339000000007</v>
      </c>
    </row>
    <row r="137" spans="1:13" ht="89.25">
      <c r="A137" s="225">
        <v>40</v>
      </c>
      <c r="B137" s="197" t="s">
        <v>235</v>
      </c>
      <c r="C137" s="113">
        <v>46004</v>
      </c>
      <c r="D137" s="134" t="s">
        <v>245</v>
      </c>
      <c r="E137" s="120" t="s">
        <v>237</v>
      </c>
      <c r="F137" s="114" t="s">
        <v>12</v>
      </c>
      <c r="G137" s="174">
        <v>15</v>
      </c>
      <c r="H137" s="116" t="s">
        <v>778</v>
      </c>
      <c r="I137" s="117" t="s">
        <v>25</v>
      </c>
      <c r="J137" s="111" t="s">
        <v>286</v>
      </c>
      <c r="K137" s="128" t="s">
        <v>27</v>
      </c>
      <c r="L137" s="175">
        <v>-9.5272120000000005</v>
      </c>
      <c r="M137" s="176">
        <v>-76.884100000000004</v>
      </c>
    </row>
    <row r="138" spans="1:13" ht="89.25">
      <c r="A138" s="225">
        <v>39</v>
      </c>
      <c r="B138" s="197" t="s">
        <v>239</v>
      </c>
      <c r="C138" s="113">
        <v>46004</v>
      </c>
      <c r="D138" s="134" t="s">
        <v>236</v>
      </c>
      <c r="E138" s="120" t="s">
        <v>260</v>
      </c>
      <c r="F138" s="114" t="s">
        <v>12</v>
      </c>
      <c r="G138" s="174">
        <v>15</v>
      </c>
      <c r="H138" s="116" t="s">
        <v>778</v>
      </c>
      <c r="I138" s="117" t="s">
        <v>25</v>
      </c>
      <c r="J138" s="111" t="s">
        <v>286</v>
      </c>
      <c r="K138" s="128" t="s">
        <v>27</v>
      </c>
      <c r="L138" s="175">
        <v>-9.5209820000000001</v>
      </c>
      <c r="M138" s="176">
        <v>-76.849485999999999</v>
      </c>
    </row>
    <row r="139" spans="1:13" ht="89.25">
      <c r="A139" s="225">
        <v>38</v>
      </c>
      <c r="B139" s="197" t="s">
        <v>238</v>
      </c>
      <c r="C139" s="113">
        <v>46004</v>
      </c>
      <c r="D139" s="134" t="s">
        <v>236</v>
      </c>
      <c r="E139" s="120" t="s">
        <v>259</v>
      </c>
      <c r="F139" s="114" t="s">
        <v>12</v>
      </c>
      <c r="G139" s="174">
        <v>15</v>
      </c>
      <c r="H139" s="116" t="s">
        <v>778</v>
      </c>
      <c r="I139" s="117" t="s">
        <v>25</v>
      </c>
      <c r="J139" s="111" t="s">
        <v>286</v>
      </c>
      <c r="K139" s="128" t="s">
        <v>27</v>
      </c>
      <c r="L139" s="175">
        <v>-9.5233589999999992</v>
      </c>
      <c r="M139" s="176">
        <v>-76.848616000000007</v>
      </c>
    </row>
    <row r="140" spans="1:13" ht="89.25">
      <c r="A140" s="225">
        <v>37</v>
      </c>
      <c r="B140" s="197" t="s">
        <v>232</v>
      </c>
      <c r="C140" s="113">
        <v>46002</v>
      </c>
      <c r="D140" s="135" t="s">
        <v>230</v>
      </c>
      <c r="E140" s="129" t="s">
        <v>231</v>
      </c>
      <c r="F140" s="114" t="s">
        <v>12</v>
      </c>
      <c r="G140" s="177">
        <v>20</v>
      </c>
      <c r="H140" s="116" t="s">
        <v>777</v>
      </c>
      <c r="I140" s="117" t="s">
        <v>233</v>
      </c>
      <c r="J140" s="111" t="s">
        <v>212</v>
      </c>
      <c r="K140" s="128" t="s">
        <v>27</v>
      </c>
      <c r="L140" s="127">
        <v>-10.94354</v>
      </c>
      <c r="M140" s="168">
        <v>-74.856499999999997</v>
      </c>
    </row>
    <row r="141" spans="1:13" ht="102">
      <c r="A141" s="225">
        <v>36</v>
      </c>
      <c r="B141" s="197" t="s">
        <v>224</v>
      </c>
      <c r="C141" s="113">
        <v>45996</v>
      </c>
      <c r="D141" s="134" t="s">
        <v>225</v>
      </c>
      <c r="E141" s="126" t="s">
        <v>226</v>
      </c>
      <c r="F141" s="114" t="s">
        <v>12</v>
      </c>
      <c r="G141" s="115">
        <v>30</v>
      </c>
      <c r="H141" s="116" t="s">
        <v>776</v>
      </c>
      <c r="I141" s="117" t="s">
        <v>234</v>
      </c>
      <c r="J141" s="111" t="s">
        <v>407</v>
      </c>
      <c r="K141" s="128" t="s">
        <v>27</v>
      </c>
      <c r="L141" s="112">
        <v>-14.866379999999999</v>
      </c>
      <c r="M141" s="118">
        <v>-70.762979000000001</v>
      </c>
    </row>
    <row r="142" spans="1:13" ht="76.5">
      <c r="A142" s="225">
        <v>35</v>
      </c>
      <c r="B142" s="197" t="s">
        <v>223</v>
      </c>
      <c r="C142" s="113">
        <v>45994</v>
      </c>
      <c r="D142" s="135" t="s">
        <v>221</v>
      </c>
      <c r="E142" s="129" t="s">
        <v>222</v>
      </c>
      <c r="F142" s="114" t="s">
        <v>12</v>
      </c>
      <c r="G142" s="115" t="s">
        <v>90</v>
      </c>
      <c r="H142" s="116" t="s">
        <v>775</v>
      </c>
      <c r="I142" s="117"/>
      <c r="J142" s="111" t="s">
        <v>283</v>
      </c>
      <c r="K142" s="128" t="s">
        <v>27</v>
      </c>
      <c r="L142" s="178">
        <v>-4.8787770000000004</v>
      </c>
      <c r="M142" s="179">
        <v>-80.697954999999993</v>
      </c>
    </row>
    <row r="143" spans="1:13" ht="76.5">
      <c r="A143" s="225">
        <v>34</v>
      </c>
      <c r="B143" s="197" t="s">
        <v>214</v>
      </c>
      <c r="C143" s="113">
        <v>45985</v>
      </c>
      <c r="D143" s="134" t="s">
        <v>215</v>
      </c>
      <c r="E143" s="120" t="s">
        <v>218</v>
      </c>
      <c r="F143" s="114" t="s">
        <v>12</v>
      </c>
      <c r="G143" s="169">
        <v>150</v>
      </c>
      <c r="H143" s="116" t="s">
        <v>774</v>
      </c>
      <c r="I143" s="117" t="s">
        <v>25</v>
      </c>
      <c r="J143" s="111" t="s">
        <v>283</v>
      </c>
      <c r="K143" s="128" t="s">
        <v>27</v>
      </c>
      <c r="L143" s="180">
        <v>-4.6016630000000003</v>
      </c>
      <c r="M143" s="181">
        <v>-81.163043000000002</v>
      </c>
    </row>
    <row r="144" spans="1:13" ht="76.5">
      <c r="A144" s="225">
        <v>33</v>
      </c>
      <c r="B144" s="197" t="s">
        <v>202</v>
      </c>
      <c r="C144" s="113">
        <v>45968</v>
      </c>
      <c r="D144" s="135" t="s">
        <v>203</v>
      </c>
      <c r="E144" s="126" t="s">
        <v>204</v>
      </c>
      <c r="F144" s="114" t="s">
        <v>12</v>
      </c>
      <c r="G144" s="182">
        <v>230</v>
      </c>
      <c r="H144" s="119" t="s">
        <v>773</v>
      </c>
      <c r="I144" s="117" t="s">
        <v>25</v>
      </c>
      <c r="J144" s="130" t="s">
        <v>284</v>
      </c>
      <c r="K144" s="133" t="s">
        <v>27</v>
      </c>
      <c r="L144" s="112">
        <v>-3.7094</v>
      </c>
      <c r="M144" s="118">
        <v>-73.247231999999997</v>
      </c>
    </row>
    <row r="145" spans="1:13" ht="76.5">
      <c r="A145" s="225">
        <v>32</v>
      </c>
      <c r="B145" s="197" t="s">
        <v>197</v>
      </c>
      <c r="C145" s="113">
        <v>45968</v>
      </c>
      <c r="D145" s="135" t="s">
        <v>198</v>
      </c>
      <c r="E145" s="126" t="s">
        <v>199</v>
      </c>
      <c r="F145" s="114" t="s">
        <v>12</v>
      </c>
      <c r="G145" s="182">
        <v>90</v>
      </c>
      <c r="H145" s="119" t="s">
        <v>772</v>
      </c>
      <c r="I145" s="117" t="s">
        <v>25</v>
      </c>
      <c r="J145" s="130" t="s">
        <v>284</v>
      </c>
      <c r="K145" s="133" t="s">
        <v>27</v>
      </c>
      <c r="L145" s="112">
        <v>-6.5900540000000003</v>
      </c>
      <c r="M145" s="118">
        <v>-76.308547000000004</v>
      </c>
    </row>
    <row r="146" spans="1:13" ht="102">
      <c r="A146" s="225">
        <v>31</v>
      </c>
      <c r="B146" s="197" t="s">
        <v>194</v>
      </c>
      <c r="C146" s="113">
        <v>45965</v>
      </c>
      <c r="D146" s="134" t="s">
        <v>192</v>
      </c>
      <c r="E146" s="120" t="s">
        <v>193</v>
      </c>
      <c r="F146" s="114" t="s">
        <v>12</v>
      </c>
      <c r="G146" s="174">
        <v>100</v>
      </c>
      <c r="H146" s="116" t="s">
        <v>771</v>
      </c>
      <c r="I146" s="117" t="s">
        <v>195</v>
      </c>
      <c r="J146" s="111" t="s">
        <v>285</v>
      </c>
      <c r="K146" s="128" t="s">
        <v>27</v>
      </c>
      <c r="L146" s="175">
        <v>-9.9083609999999993</v>
      </c>
      <c r="M146" s="176">
        <v>-76.383140999999995</v>
      </c>
    </row>
    <row r="147" spans="1:13" ht="114.75">
      <c r="A147" s="225">
        <v>30</v>
      </c>
      <c r="B147" s="197" t="s">
        <v>191</v>
      </c>
      <c r="C147" s="113">
        <v>45965</v>
      </c>
      <c r="D147" s="134" t="s">
        <v>155</v>
      </c>
      <c r="E147" s="126" t="s">
        <v>190</v>
      </c>
      <c r="F147" s="114" t="s">
        <v>12</v>
      </c>
      <c r="G147" s="115">
        <v>335</v>
      </c>
      <c r="H147" s="116" t="s">
        <v>770</v>
      </c>
      <c r="I147" s="117" t="s">
        <v>196</v>
      </c>
      <c r="J147" s="111" t="s">
        <v>407</v>
      </c>
      <c r="K147" s="128" t="s">
        <v>27</v>
      </c>
      <c r="L147" s="112">
        <v>-13.867858</v>
      </c>
      <c r="M147" s="118">
        <v>-72.773049999999998</v>
      </c>
    </row>
    <row r="148" spans="1:13" ht="102">
      <c r="A148" s="225">
        <v>29</v>
      </c>
      <c r="B148" s="197" t="s">
        <v>176</v>
      </c>
      <c r="C148" s="113">
        <v>45951</v>
      </c>
      <c r="D148" s="136" t="s">
        <v>173</v>
      </c>
      <c r="E148" s="126" t="s">
        <v>277</v>
      </c>
      <c r="F148" s="114" t="s">
        <v>12</v>
      </c>
      <c r="G148" s="115">
        <v>40</v>
      </c>
      <c r="H148" s="116" t="s">
        <v>769</v>
      </c>
      <c r="I148" s="117" t="s">
        <v>25</v>
      </c>
      <c r="J148" s="130" t="s">
        <v>314</v>
      </c>
      <c r="K148" s="133" t="s">
        <v>27</v>
      </c>
      <c r="L148" s="112">
        <v>-8.1125399999999992</v>
      </c>
      <c r="M148" s="118">
        <v>-78.179596000000004</v>
      </c>
    </row>
    <row r="149" spans="1:13" ht="89.25">
      <c r="A149" s="225">
        <v>28</v>
      </c>
      <c r="B149" s="197" t="s">
        <v>174</v>
      </c>
      <c r="C149" s="113">
        <v>45951</v>
      </c>
      <c r="D149" s="136" t="s">
        <v>173</v>
      </c>
      <c r="E149" s="126" t="s">
        <v>175</v>
      </c>
      <c r="F149" s="114" t="s">
        <v>12</v>
      </c>
      <c r="G149" s="115">
        <v>40</v>
      </c>
      <c r="H149" s="116" t="s">
        <v>768</v>
      </c>
      <c r="I149" s="117" t="s">
        <v>25</v>
      </c>
      <c r="J149" s="130" t="s">
        <v>314</v>
      </c>
      <c r="K149" s="133" t="s">
        <v>27</v>
      </c>
      <c r="L149" s="112">
        <v>-8.0804749999999999</v>
      </c>
      <c r="M149" s="118">
        <v>-78.158652000000004</v>
      </c>
    </row>
    <row r="150" spans="1:13" ht="76.5">
      <c r="A150" s="225">
        <v>27</v>
      </c>
      <c r="B150" s="197" t="s">
        <v>171</v>
      </c>
      <c r="C150" s="113">
        <v>45950</v>
      </c>
      <c r="D150" s="136" t="s">
        <v>172</v>
      </c>
      <c r="E150" s="126" t="s">
        <v>169</v>
      </c>
      <c r="F150" s="114" t="s">
        <v>12</v>
      </c>
      <c r="G150" s="169">
        <v>45</v>
      </c>
      <c r="H150" s="116" t="s">
        <v>767</v>
      </c>
      <c r="I150" s="117" t="s">
        <v>25</v>
      </c>
      <c r="J150" s="111" t="s">
        <v>287</v>
      </c>
      <c r="K150" s="128" t="s">
        <v>27</v>
      </c>
      <c r="L150" s="170">
        <v>-10.079893999999999</v>
      </c>
      <c r="M150" s="171">
        <v>-75.685351999999995</v>
      </c>
    </row>
    <row r="151" spans="1:13" ht="76.5">
      <c r="A151" s="225">
        <v>26</v>
      </c>
      <c r="B151" s="197" t="s">
        <v>170</v>
      </c>
      <c r="C151" s="113">
        <v>45950</v>
      </c>
      <c r="D151" s="136" t="s">
        <v>172</v>
      </c>
      <c r="E151" s="126" t="s">
        <v>177</v>
      </c>
      <c r="F151" s="114" t="s">
        <v>12</v>
      </c>
      <c r="G151" s="169">
        <v>25</v>
      </c>
      <c r="H151" s="116" t="s">
        <v>766</v>
      </c>
      <c r="I151" s="117" t="s">
        <v>182</v>
      </c>
      <c r="J151" s="111" t="s">
        <v>287</v>
      </c>
      <c r="K151" s="128" t="s">
        <v>27</v>
      </c>
      <c r="L151" s="170">
        <v>-10.192494999999999</v>
      </c>
      <c r="M151" s="171">
        <v>-75.700658000000004</v>
      </c>
    </row>
    <row r="152" spans="1:13" ht="76.5">
      <c r="A152" s="225">
        <v>25</v>
      </c>
      <c r="B152" s="197" t="s">
        <v>205</v>
      </c>
      <c r="C152" s="113">
        <v>45934</v>
      </c>
      <c r="D152" s="134" t="s">
        <v>206</v>
      </c>
      <c r="E152" s="120" t="s">
        <v>207</v>
      </c>
      <c r="F152" s="114" t="s">
        <v>12</v>
      </c>
      <c r="G152" s="115" t="s">
        <v>90</v>
      </c>
      <c r="H152" s="116" t="s">
        <v>765</v>
      </c>
      <c r="I152" s="117" t="s">
        <v>208</v>
      </c>
      <c r="J152" s="130" t="s">
        <v>219</v>
      </c>
      <c r="K152" s="128" t="s">
        <v>27</v>
      </c>
      <c r="L152" s="140">
        <v>-6.362101</v>
      </c>
      <c r="M152" s="141">
        <v>-78.789235000000005</v>
      </c>
    </row>
    <row r="153" spans="1:13" ht="89.25">
      <c r="A153" s="225">
        <v>24</v>
      </c>
      <c r="B153" s="197" t="s">
        <v>147</v>
      </c>
      <c r="C153" s="113">
        <v>45922</v>
      </c>
      <c r="D153" s="135" t="s">
        <v>156</v>
      </c>
      <c r="E153" s="129" t="s">
        <v>146</v>
      </c>
      <c r="F153" s="114" t="s">
        <v>12</v>
      </c>
      <c r="G153" s="177">
        <v>40</v>
      </c>
      <c r="H153" s="116" t="s">
        <v>764</v>
      </c>
      <c r="I153" s="117" t="s">
        <v>25</v>
      </c>
      <c r="J153" s="111" t="s">
        <v>212</v>
      </c>
      <c r="K153" s="133" t="s">
        <v>27</v>
      </c>
      <c r="L153" s="127">
        <v>-11.897277000000001</v>
      </c>
      <c r="M153" s="168">
        <v>-73.946527000000003</v>
      </c>
    </row>
    <row r="154" spans="1:13" ht="76.5">
      <c r="A154" s="225">
        <v>23</v>
      </c>
      <c r="B154" s="197" t="s">
        <v>143</v>
      </c>
      <c r="C154" s="113">
        <v>45874</v>
      </c>
      <c r="D154" s="135" t="s">
        <v>157</v>
      </c>
      <c r="E154" s="129" t="s">
        <v>141</v>
      </c>
      <c r="F154" s="114" t="s">
        <v>12</v>
      </c>
      <c r="G154" s="183">
        <v>100</v>
      </c>
      <c r="H154" s="116" t="s">
        <v>763</v>
      </c>
      <c r="I154" s="117" t="s">
        <v>25</v>
      </c>
      <c r="J154" s="111" t="s">
        <v>283</v>
      </c>
      <c r="K154" s="144" t="s">
        <v>27</v>
      </c>
      <c r="L154" s="184">
        <v>-4.5186000000000002</v>
      </c>
      <c r="M154" s="185">
        <v>-80.465699999999998</v>
      </c>
    </row>
    <row r="155" spans="1:13" ht="76.5">
      <c r="A155" s="225">
        <v>22</v>
      </c>
      <c r="B155" s="197" t="s">
        <v>142</v>
      </c>
      <c r="C155" s="113">
        <v>45874</v>
      </c>
      <c r="D155" s="135" t="s">
        <v>157</v>
      </c>
      <c r="E155" s="129" t="s">
        <v>144</v>
      </c>
      <c r="F155" s="114" t="s">
        <v>12</v>
      </c>
      <c r="G155" s="115" t="s">
        <v>90</v>
      </c>
      <c r="H155" s="116" t="s">
        <v>763</v>
      </c>
      <c r="I155" s="117" t="s">
        <v>25</v>
      </c>
      <c r="J155" s="111" t="s">
        <v>283</v>
      </c>
      <c r="K155" s="144" t="s">
        <v>27</v>
      </c>
      <c r="L155" s="184">
        <v>-4.5281710000000004</v>
      </c>
      <c r="M155" s="185">
        <v>-80.476138000000006</v>
      </c>
    </row>
    <row r="156" spans="1:13" ht="76.5">
      <c r="A156" s="225">
        <v>21</v>
      </c>
      <c r="B156" s="197" t="s">
        <v>140</v>
      </c>
      <c r="C156" s="113">
        <v>45874</v>
      </c>
      <c r="D156" s="135" t="s">
        <v>158</v>
      </c>
      <c r="E156" s="129" t="s">
        <v>183</v>
      </c>
      <c r="F156" s="114" t="s">
        <v>12</v>
      </c>
      <c r="G156" s="183">
        <v>50</v>
      </c>
      <c r="H156" s="116" t="s">
        <v>763</v>
      </c>
      <c r="I156" s="117" t="s">
        <v>25</v>
      </c>
      <c r="J156" s="111" t="s">
        <v>283</v>
      </c>
      <c r="K156" s="144" t="s">
        <v>27</v>
      </c>
      <c r="L156" s="184">
        <v>-4.9224969999999999</v>
      </c>
      <c r="M156" s="185">
        <v>-80.624437</v>
      </c>
    </row>
    <row r="157" spans="1:13" ht="76.5">
      <c r="A157" s="225">
        <v>20</v>
      </c>
      <c r="B157" s="197" t="s">
        <v>139</v>
      </c>
      <c r="C157" s="113">
        <v>45874</v>
      </c>
      <c r="D157" s="135" t="s">
        <v>158</v>
      </c>
      <c r="E157" s="129" t="s">
        <v>184</v>
      </c>
      <c r="F157" s="114" t="s">
        <v>12</v>
      </c>
      <c r="G157" s="183">
        <v>50</v>
      </c>
      <c r="H157" s="116" t="s">
        <v>763</v>
      </c>
      <c r="I157" s="117" t="s">
        <v>25</v>
      </c>
      <c r="J157" s="111" t="s">
        <v>283</v>
      </c>
      <c r="K157" s="144" t="s">
        <v>27</v>
      </c>
      <c r="L157" s="184">
        <v>-4.9216959999999998</v>
      </c>
      <c r="M157" s="185">
        <v>-80.626599999999996</v>
      </c>
    </row>
    <row r="158" spans="1:13" ht="114.75">
      <c r="A158" s="225">
        <v>19</v>
      </c>
      <c r="B158" s="197" t="s">
        <v>128</v>
      </c>
      <c r="C158" s="113">
        <v>45759</v>
      </c>
      <c r="D158" s="136" t="s">
        <v>159</v>
      </c>
      <c r="E158" s="126" t="s">
        <v>153</v>
      </c>
      <c r="F158" s="114" t="s">
        <v>12</v>
      </c>
      <c r="G158" s="115">
        <v>100</v>
      </c>
      <c r="H158" s="116" t="s">
        <v>762</v>
      </c>
      <c r="I158" s="117" t="s">
        <v>131</v>
      </c>
      <c r="J158" s="111" t="s">
        <v>127</v>
      </c>
      <c r="K158" s="144" t="s">
        <v>27</v>
      </c>
      <c r="L158" s="166">
        <v>-5.8245511958332701</v>
      </c>
      <c r="M158" s="167">
        <v>-78.257423043250995</v>
      </c>
    </row>
    <row r="159" spans="1:13" ht="76.5">
      <c r="A159" s="225">
        <v>18</v>
      </c>
      <c r="B159" s="197" t="s">
        <v>125</v>
      </c>
      <c r="C159" s="113">
        <v>45736</v>
      </c>
      <c r="D159" s="136" t="s">
        <v>160</v>
      </c>
      <c r="E159" s="126" t="s">
        <v>126</v>
      </c>
      <c r="F159" s="114" t="s">
        <v>12</v>
      </c>
      <c r="G159" s="115">
        <v>50</v>
      </c>
      <c r="H159" s="116" t="s">
        <v>753</v>
      </c>
      <c r="I159" s="117" t="s">
        <v>26</v>
      </c>
      <c r="J159" s="111" t="s">
        <v>152</v>
      </c>
      <c r="K159" s="144" t="s">
        <v>27</v>
      </c>
      <c r="L159" s="112">
        <v>-17.076312000000001</v>
      </c>
      <c r="M159" s="118">
        <v>-70.840873000000002</v>
      </c>
    </row>
    <row r="160" spans="1:13" ht="165.75">
      <c r="A160" s="225">
        <v>17</v>
      </c>
      <c r="B160" s="197" t="s">
        <v>121</v>
      </c>
      <c r="C160" s="113">
        <v>45719</v>
      </c>
      <c r="D160" s="134" t="s">
        <v>161</v>
      </c>
      <c r="E160" s="126" t="s">
        <v>122</v>
      </c>
      <c r="F160" s="114" t="s">
        <v>12</v>
      </c>
      <c r="G160" s="115">
        <v>30</v>
      </c>
      <c r="H160" s="116" t="s">
        <v>761</v>
      </c>
      <c r="I160" s="117" t="s">
        <v>123</v>
      </c>
      <c r="J160" s="130" t="s">
        <v>119</v>
      </c>
      <c r="K160" s="186" t="s">
        <v>27</v>
      </c>
      <c r="L160" s="112">
        <v>-7.6699510000000002</v>
      </c>
      <c r="M160" s="118">
        <v>-77.848448000000005</v>
      </c>
    </row>
    <row r="161" spans="1:13" ht="102">
      <c r="A161" s="225">
        <v>16</v>
      </c>
      <c r="B161" s="197" t="s">
        <v>118</v>
      </c>
      <c r="C161" s="113">
        <v>45670</v>
      </c>
      <c r="D161" s="134" t="s">
        <v>162</v>
      </c>
      <c r="E161" s="126" t="s">
        <v>129</v>
      </c>
      <c r="F161" s="114" t="s">
        <v>12</v>
      </c>
      <c r="G161" s="187">
        <v>200</v>
      </c>
      <c r="H161" s="119" t="s">
        <v>760</v>
      </c>
      <c r="I161" s="117" t="s">
        <v>134</v>
      </c>
      <c r="J161" s="111" t="s">
        <v>185</v>
      </c>
      <c r="K161" s="186" t="s">
        <v>27</v>
      </c>
      <c r="L161" s="188">
        <v>-17.151049</v>
      </c>
      <c r="M161" s="189">
        <v>-71.785892000000004</v>
      </c>
    </row>
    <row r="162" spans="1:13" ht="76.5">
      <c r="A162" s="225">
        <v>15</v>
      </c>
      <c r="B162" s="197" t="s">
        <v>91</v>
      </c>
      <c r="C162" s="113">
        <v>45024</v>
      </c>
      <c r="D162" s="134" t="s">
        <v>164</v>
      </c>
      <c r="E162" s="126" t="s">
        <v>96</v>
      </c>
      <c r="F162" s="114" t="s">
        <v>12</v>
      </c>
      <c r="G162" s="115">
        <v>30</v>
      </c>
      <c r="H162" s="116" t="s">
        <v>759</v>
      </c>
      <c r="I162" s="117" t="s">
        <v>87</v>
      </c>
      <c r="J162" s="111" t="s">
        <v>127</v>
      </c>
      <c r="K162" s="231"/>
      <c r="L162" s="112">
        <v>-5.9253954853169102</v>
      </c>
      <c r="M162" s="118">
        <v>-79.551036357879596</v>
      </c>
    </row>
    <row r="163" spans="1:13" ht="63.75">
      <c r="A163" s="225">
        <v>14</v>
      </c>
      <c r="B163" s="197" t="s">
        <v>89</v>
      </c>
      <c r="C163" s="113">
        <v>45024</v>
      </c>
      <c r="D163" s="134" t="s">
        <v>165</v>
      </c>
      <c r="E163" s="126" t="s">
        <v>111</v>
      </c>
      <c r="F163" s="114" t="s">
        <v>12</v>
      </c>
      <c r="G163" s="115">
        <v>200</v>
      </c>
      <c r="H163" s="190" t="s">
        <v>758</v>
      </c>
      <c r="I163" s="117" t="s">
        <v>87</v>
      </c>
      <c r="J163" s="111" t="s">
        <v>127</v>
      </c>
      <c r="K163" s="231"/>
      <c r="L163" s="112">
        <v>-6.4113724456344103</v>
      </c>
      <c r="M163" s="118">
        <v>-76.619019806384998</v>
      </c>
    </row>
    <row r="164" spans="1:13" ht="99" customHeight="1">
      <c r="A164" s="225">
        <v>13</v>
      </c>
      <c r="B164" s="197" t="s">
        <v>94</v>
      </c>
      <c r="C164" s="113">
        <v>45021</v>
      </c>
      <c r="D164" s="134" t="s">
        <v>166</v>
      </c>
      <c r="E164" s="137" t="s">
        <v>95</v>
      </c>
      <c r="F164" s="114" t="s">
        <v>12</v>
      </c>
      <c r="G164" s="115">
        <v>20</v>
      </c>
      <c r="H164" s="116" t="s">
        <v>757</v>
      </c>
      <c r="I164" s="117" t="s">
        <v>130</v>
      </c>
      <c r="J164" s="111" t="s">
        <v>127</v>
      </c>
      <c r="K164" s="128" t="s">
        <v>27</v>
      </c>
      <c r="L164" s="112">
        <v>-5.6072516903480301</v>
      </c>
      <c r="M164" s="118">
        <v>-79.897191524505601</v>
      </c>
    </row>
    <row r="165" spans="1:13" ht="63.75">
      <c r="A165" s="225">
        <v>12</v>
      </c>
      <c r="B165" s="197" t="s">
        <v>88</v>
      </c>
      <c r="C165" s="113">
        <v>45014</v>
      </c>
      <c r="D165" s="134" t="s">
        <v>167</v>
      </c>
      <c r="E165" s="137" t="s">
        <v>103</v>
      </c>
      <c r="F165" s="114" t="s">
        <v>12</v>
      </c>
      <c r="G165" s="115">
        <v>45</v>
      </c>
      <c r="H165" s="116" t="s">
        <v>756</v>
      </c>
      <c r="I165" s="117" t="s">
        <v>87</v>
      </c>
      <c r="J165" s="111" t="s">
        <v>127</v>
      </c>
      <c r="K165" s="231"/>
      <c r="L165" s="112">
        <v>-5.8556340786628898</v>
      </c>
      <c r="M165" s="118">
        <v>-77.985540926456395</v>
      </c>
    </row>
    <row r="166" spans="1:13" ht="100.5" customHeight="1">
      <c r="A166" s="225">
        <v>11</v>
      </c>
      <c r="B166" s="197" t="s">
        <v>92</v>
      </c>
      <c r="C166" s="113">
        <v>45010</v>
      </c>
      <c r="D166" s="134" t="s">
        <v>189</v>
      </c>
      <c r="E166" s="126" t="s">
        <v>105</v>
      </c>
      <c r="F166" s="114" t="s">
        <v>12</v>
      </c>
      <c r="G166" s="115" t="s">
        <v>90</v>
      </c>
      <c r="H166" s="116" t="s">
        <v>755</v>
      </c>
      <c r="I166" s="117" t="s">
        <v>87</v>
      </c>
      <c r="J166" s="111" t="s">
        <v>127</v>
      </c>
      <c r="K166" s="231"/>
      <c r="L166" s="112">
        <v>-5.88631502237057</v>
      </c>
      <c r="M166" s="118">
        <v>-78.180116415023804</v>
      </c>
    </row>
    <row r="167" spans="1:13" ht="76.5">
      <c r="A167" s="225">
        <v>10</v>
      </c>
      <c r="B167" s="197" t="s">
        <v>93</v>
      </c>
      <c r="C167" s="113">
        <v>44999</v>
      </c>
      <c r="D167" s="134" t="s">
        <v>189</v>
      </c>
      <c r="E167" s="126" t="s">
        <v>104</v>
      </c>
      <c r="F167" s="114" t="s">
        <v>12</v>
      </c>
      <c r="G167" s="115">
        <v>15</v>
      </c>
      <c r="H167" s="116" t="s">
        <v>754</v>
      </c>
      <c r="I167" s="117" t="s">
        <v>87</v>
      </c>
      <c r="J167" s="111" t="s">
        <v>127</v>
      </c>
      <c r="K167" s="231"/>
      <c r="L167" s="112">
        <v>-5.8581101753540397</v>
      </c>
      <c r="M167" s="118">
        <v>-78.225035369396196</v>
      </c>
    </row>
    <row r="168" spans="1:13" ht="76.5">
      <c r="A168" s="225">
        <v>9</v>
      </c>
      <c r="B168" s="197" t="s">
        <v>29</v>
      </c>
      <c r="C168" s="113">
        <v>44240</v>
      </c>
      <c r="D168" s="136" t="s">
        <v>160</v>
      </c>
      <c r="E168" s="126" t="s">
        <v>124</v>
      </c>
      <c r="F168" s="114" t="s">
        <v>12</v>
      </c>
      <c r="G168" s="115">
        <v>40</v>
      </c>
      <c r="H168" s="116" t="s">
        <v>753</v>
      </c>
      <c r="I168" s="117" t="s">
        <v>26</v>
      </c>
      <c r="J168" s="111" t="s">
        <v>112</v>
      </c>
      <c r="K168" s="186" t="s">
        <v>27</v>
      </c>
      <c r="L168" s="112">
        <v>-17.07</v>
      </c>
      <c r="M168" s="118">
        <v>-70.850999999999999</v>
      </c>
    </row>
    <row r="169" spans="1:13" ht="127.5">
      <c r="A169" s="225">
        <v>8</v>
      </c>
      <c r="B169" s="197" t="s">
        <v>28</v>
      </c>
      <c r="C169" s="113">
        <v>43889</v>
      </c>
      <c r="D169" s="136" t="s">
        <v>160</v>
      </c>
      <c r="E169" s="126" t="s">
        <v>278</v>
      </c>
      <c r="F169" s="114" t="s">
        <v>12</v>
      </c>
      <c r="G169" s="115">
        <v>63</v>
      </c>
      <c r="H169" s="116" t="s">
        <v>752</v>
      </c>
      <c r="I169" s="117" t="s">
        <v>26</v>
      </c>
      <c r="J169" s="111" t="s">
        <v>112</v>
      </c>
      <c r="K169" s="186" t="s">
        <v>27</v>
      </c>
      <c r="L169" s="112">
        <v>-17.068999999999999</v>
      </c>
      <c r="M169" s="118">
        <v>-70.849999999999994</v>
      </c>
    </row>
    <row r="170" spans="1:13" ht="114.75">
      <c r="A170" s="225">
        <v>7</v>
      </c>
      <c r="B170" s="197" t="s">
        <v>99</v>
      </c>
      <c r="C170" s="113">
        <v>43539</v>
      </c>
      <c r="D170" s="136" t="s">
        <v>168</v>
      </c>
      <c r="E170" s="126" t="s">
        <v>100</v>
      </c>
      <c r="F170" s="114" t="s">
        <v>12</v>
      </c>
      <c r="G170" s="121" t="s">
        <v>90</v>
      </c>
      <c r="H170" s="116" t="s">
        <v>751</v>
      </c>
      <c r="I170" s="117" t="s">
        <v>97</v>
      </c>
      <c r="J170" s="111" t="s">
        <v>98</v>
      </c>
      <c r="K170" s="186" t="s">
        <v>27</v>
      </c>
      <c r="L170" s="112">
        <v>-7.9779999999999998</v>
      </c>
      <c r="M170" s="118">
        <v>-78.646000000000001</v>
      </c>
    </row>
    <row r="171" spans="1:13" ht="102">
      <c r="A171" s="225">
        <v>6</v>
      </c>
      <c r="B171" s="197" t="s">
        <v>186</v>
      </c>
      <c r="C171" s="113">
        <v>43531</v>
      </c>
      <c r="D171" s="136" t="s">
        <v>187</v>
      </c>
      <c r="E171" s="126" t="s">
        <v>281</v>
      </c>
      <c r="F171" s="114" t="s">
        <v>12</v>
      </c>
      <c r="G171" s="121">
        <v>60</v>
      </c>
      <c r="H171" s="116" t="s">
        <v>750</v>
      </c>
      <c r="I171" s="116" t="s">
        <v>188</v>
      </c>
      <c r="J171" s="117" t="s">
        <v>551</v>
      </c>
      <c r="K171" s="231"/>
      <c r="L171" s="112">
        <v>-13.802</v>
      </c>
      <c r="M171" s="118">
        <v>-70.474999999999994</v>
      </c>
    </row>
    <row r="172" spans="1:13" ht="89.25">
      <c r="A172" s="225">
        <v>5</v>
      </c>
      <c r="B172" s="202" t="s">
        <v>731</v>
      </c>
      <c r="C172" s="113">
        <v>46069</v>
      </c>
      <c r="D172" s="135" t="s">
        <v>733</v>
      </c>
      <c r="E172" s="120" t="s">
        <v>734</v>
      </c>
      <c r="F172" s="239" t="s">
        <v>904</v>
      </c>
      <c r="G172" s="115" t="s">
        <v>90</v>
      </c>
      <c r="H172" s="116" t="s">
        <v>905</v>
      </c>
      <c r="I172" s="117"/>
      <c r="J172" s="111" t="s">
        <v>732</v>
      </c>
      <c r="K172" s="144"/>
      <c r="L172" s="112">
        <v>-11.430077000000001</v>
      </c>
      <c r="M172" s="118">
        <v>-75.930908000000002</v>
      </c>
    </row>
    <row r="173" spans="1:13" s="275" customFormat="1" ht="76.5">
      <c r="A173" s="225">
        <v>4</v>
      </c>
      <c r="B173" s="276" t="s">
        <v>914</v>
      </c>
      <c r="C173" s="113">
        <v>46049</v>
      </c>
      <c r="D173" s="135" t="s">
        <v>431</v>
      </c>
      <c r="E173" s="126" t="s">
        <v>432</v>
      </c>
      <c r="F173" s="239" t="s">
        <v>904</v>
      </c>
      <c r="G173" s="115">
        <v>970</v>
      </c>
      <c r="H173" s="116" t="s">
        <v>907</v>
      </c>
      <c r="I173" s="117" t="s">
        <v>434</v>
      </c>
      <c r="J173" s="111" t="s">
        <v>433</v>
      </c>
      <c r="K173" s="144" t="s">
        <v>27</v>
      </c>
      <c r="L173" s="112">
        <v>-9.301031</v>
      </c>
      <c r="M173" s="118">
        <v>-77.013214000000005</v>
      </c>
    </row>
    <row r="174" spans="1:13" s="275" customFormat="1" ht="80.25" customHeight="1">
      <c r="A174" s="225">
        <v>3</v>
      </c>
      <c r="B174" s="202" t="s">
        <v>911</v>
      </c>
      <c r="C174" s="113">
        <v>46042</v>
      </c>
      <c r="D174" s="134" t="s">
        <v>387</v>
      </c>
      <c r="E174" s="126" t="s">
        <v>598</v>
      </c>
      <c r="F174" s="239" t="s">
        <v>904</v>
      </c>
      <c r="G174" s="115" t="s">
        <v>90</v>
      </c>
      <c r="H174" s="116" t="s">
        <v>938</v>
      </c>
      <c r="I174" s="117" t="s">
        <v>25</v>
      </c>
      <c r="J174" s="111" t="s">
        <v>388</v>
      </c>
      <c r="K174" s="128" t="s">
        <v>27</v>
      </c>
      <c r="L174" s="112">
        <v>-13.129848000000001</v>
      </c>
      <c r="M174" s="118">
        <v>-75.075254999999999</v>
      </c>
    </row>
    <row r="175" spans="1:13" s="275" customFormat="1" ht="103.5" customHeight="1">
      <c r="A175" s="225">
        <v>2</v>
      </c>
      <c r="B175" s="202" t="s">
        <v>899</v>
      </c>
      <c r="C175" s="113">
        <v>46044</v>
      </c>
      <c r="D175" s="163" t="s">
        <v>668</v>
      </c>
      <c r="E175" s="120" t="s">
        <v>669</v>
      </c>
      <c r="F175" s="239" t="s">
        <v>904</v>
      </c>
      <c r="G175" s="115" t="s">
        <v>90</v>
      </c>
      <c r="H175" s="116" t="s">
        <v>939</v>
      </c>
      <c r="I175" s="117" t="s">
        <v>670</v>
      </c>
      <c r="J175" s="111" t="s">
        <v>388</v>
      </c>
      <c r="K175" s="128" t="s">
        <v>27</v>
      </c>
      <c r="L175" s="112">
        <v>-12.985191</v>
      </c>
      <c r="M175" s="118">
        <v>-75.090422000000004</v>
      </c>
    </row>
    <row r="176" spans="1:13" ht="63.75">
      <c r="A176" s="225">
        <v>1</v>
      </c>
      <c r="B176" s="202" t="s">
        <v>552</v>
      </c>
      <c r="C176" s="113">
        <v>46048</v>
      </c>
      <c r="D176" s="135" t="s">
        <v>367</v>
      </c>
      <c r="E176" s="126" t="s">
        <v>437</v>
      </c>
      <c r="F176" s="239" t="s">
        <v>904</v>
      </c>
      <c r="G176" s="115" t="s">
        <v>90</v>
      </c>
      <c r="H176" s="116" t="s">
        <v>940</v>
      </c>
      <c r="I176" s="117" t="s">
        <v>25</v>
      </c>
      <c r="J176" s="111" t="s">
        <v>212</v>
      </c>
      <c r="K176" s="128" t="s">
        <v>27</v>
      </c>
      <c r="L176" s="112">
        <v>-11.506732</v>
      </c>
      <c r="M176" s="118">
        <v>-74.821144000000004</v>
      </c>
    </row>
    <row r="177" spans="1:13">
      <c r="A177" s="261" t="s">
        <v>102</v>
      </c>
      <c r="B177" s="261"/>
      <c r="C177" s="261"/>
      <c r="D177" s="261"/>
      <c r="E177" s="261"/>
      <c r="F177" s="40"/>
      <c r="L177"/>
      <c r="M177"/>
    </row>
    <row r="194" spans="6:6">
      <c r="F194" s="214"/>
    </row>
  </sheetData>
  <mergeCells count="3">
    <mergeCell ref="D1:K1"/>
    <mergeCell ref="D2:K2"/>
    <mergeCell ref="A177:E177"/>
  </mergeCells>
  <phoneticPr fontId="117" type="noConversion"/>
  <hyperlinks>
    <hyperlink ref="K169" r:id="rId1" xr:uid="{00000000-0004-0000-0100-000000000000}"/>
    <hyperlink ref="K168" r:id="rId2" xr:uid="{00000000-0004-0000-0100-000001000000}"/>
    <hyperlink ref="K170" r:id="rId3" xr:uid="{00000000-0004-0000-0100-000002000000}"/>
    <hyperlink ref="B161" r:id="rId4" xr:uid="{00000000-0004-0000-0100-000003000000}"/>
    <hyperlink ref="K161" r:id="rId5" xr:uid="{00000000-0004-0000-0100-000004000000}"/>
    <hyperlink ref="B160" r:id="rId6" xr:uid="{00000000-0004-0000-0100-000005000000}"/>
    <hyperlink ref="B159" r:id="rId7" xr:uid="{00000000-0004-0000-0100-000006000000}"/>
    <hyperlink ref="K159" r:id="rId8" xr:uid="{00000000-0004-0000-0100-000007000000}"/>
    <hyperlink ref="B164" r:id="rId9" xr:uid="{00000000-0004-0000-0100-000008000000}"/>
    <hyperlink ref="B166" r:id="rId10" xr:uid="{00000000-0004-0000-0100-000009000000}"/>
    <hyperlink ref="B167" r:id="rId11" xr:uid="{00000000-0004-0000-0100-00000A000000}"/>
    <hyperlink ref="B163" r:id="rId12" xr:uid="{00000000-0004-0000-0100-00000B000000}"/>
    <hyperlink ref="B169" r:id="rId13" xr:uid="{00000000-0004-0000-0100-00000C000000}"/>
    <hyperlink ref="B168" r:id="rId14" xr:uid="{00000000-0004-0000-0100-00000D000000}"/>
    <hyperlink ref="B165" r:id="rId15" xr:uid="{00000000-0004-0000-0100-00000E000000}"/>
    <hyperlink ref="B170" r:id="rId16" xr:uid="{00000000-0004-0000-0100-00000F000000}"/>
    <hyperlink ref="B162" r:id="rId17" xr:uid="{00000000-0004-0000-0100-000010000000}"/>
    <hyperlink ref="K158" r:id="rId18" xr:uid="{00000000-0004-0000-0100-000011000000}"/>
    <hyperlink ref="B158" r:id="rId19" xr:uid="{00000000-0004-0000-0100-000012000000}"/>
    <hyperlink ref="K160" r:id="rId20" xr:uid="{00000000-0004-0000-0100-000013000000}"/>
    <hyperlink ref="B157" r:id="rId21" xr:uid="{00000000-0004-0000-0100-000014000000}"/>
    <hyperlink ref="B156" r:id="rId22" xr:uid="{00000000-0004-0000-0100-000015000000}"/>
    <hyperlink ref="B155" r:id="rId23" xr:uid="{00000000-0004-0000-0100-000016000000}"/>
    <hyperlink ref="B154" r:id="rId24" xr:uid="{00000000-0004-0000-0100-000017000000}"/>
    <hyperlink ref="K154" r:id="rId25" xr:uid="{00000000-0004-0000-0100-000018000000}"/>
    <hyperlink ref="K155" r:id="rId26" xr:uid="{00000000-0004-0000-0100-000019000000}"/>
    <hyperlink ref="K156" r:id="rId27" xr:uid="{00000000-0004-0000-0100-00001A000000}"/>
    <hyperlink ref="K157" r:id="rId28" xr:uid="{00000000-0004-0000-0100-00001B000000}"/>
    <hyperlink ref="B153" r:id="rId29" xr:uid="{00000000-0004-0000-0100-00001C000000}"/>
    <hyperlink ref="K153" r:id="rId30" xr:uid="{00000000-0004-0000-0100-00001D000000}"/>
    <hyperlink ref="B151" r:id="rId31" xr:uid="{00000000-0004-0000-0100-00001E000000}"/>
    <hyperlink ref="B150" r:id="rId32" xr:uid="{00000000-0004-0000-0100-00001F000000}"/>
    <hyperlink ref="K150" r:id="rId33" xr:uid="{00000000-0004-0000-0100-000020000000}"/>
    <hyperlink ref="K151" r:id="rId34" xr:uid="{00000000-0004-0000-0100-000021000000}"/>
    <hyperlink ref="B149" r:id="rId35" xr:uid="{00000000-0004-0000-0100-000022000000}"/>
    <hyperlink ref="K149" r:id="rId36" xr:uid="{00000000-0004-0000-0100-000023000000}"/>
    <hyperlink ref="B148" r:id="rId37" xr:uid="{00000000-0004-0000-0100-000024000000}"/>
    <hyperlink ref="K148" r:id="rId38" xr:uid="{00000000-0004-0000-0100-000025000000}"/>
    <hyperlink ref="B171" r:id="rId39" xr:uid="{00000000-0004-0000-0100-000026000000}"/>
    <hyperlink ref="B147" r:id="rId40" xr:uid="{00000000-0004-0000-0100-000027000000}"/>
    <hyperlink ref="B146" r:id="rId41" xr:uid="{00000000-0004-0000-0100-000028000000}"/>
    <hyperlink ref="K147" r:id="rId42" xr:uid="{00000000-0004-0000-0100-000029000000}"/>
    <hyperlink ref="K146" r:id="rId43" xr:uid="{00000000-0004-0000-0100-00002A000000}"/>
    <hyperlink ref="B145" r:id="rId44" xr:uid="{00000000-0004-0000-0100-00002B000000}"/>
    <hyperlink ref="K145" r:id="rId45" xr:uid="{00000000-0004-0000-0100-00002C000000}"/>
    <hyperlink ref="B144" r:id="rId46" xr:uid="{00000000-0004-0000-0100-00002D000000}"/>
    <hyperlink ref="K144" r:id="rId47" xr:uid="{00000000-0004-0000-0100-00002E000000}"/>
    <hyperlink ref="B152" r:id="rId48" xr:uid="{00000000-0004-0000-0100-00002F000000}"/>
    <hyperlink ref="K152" r:id="rId49" xr:uid="{00000000-0004-0000-0100-000030000000}"/>
    <hyperlink ref="B143" r:id="rId50" xr:uid="{00000000-0004-0000-0100-000031000000}"/>
    <hyperlink ref="K143" r:id="rId51" xr:uid="{00000000-0004-0000-0100-000032000000}"/>
    <hyperlink ref="B142" r:id="rId52" xr:uid="{00000000-0004-0000-0100-000033000000}"/>
    <hyperlink ref="K142" r:id="rId53" xr:uid="{00000000-0004-0000-0100-000034000000}"/>
    <hyperlink ref="B141" r:id="rId54" xr:uid="{00000000-0004-0000-0100-000035000000}"/>
    <hyperlink ref="K141" r:id="rId55" xr:uid="{00000000-0004-0000-0100-000036000000}"/>
    <hyperlink ref="B140" r:id="rId56" xr:uid="{00000000-0004-0000-0100-000037000000}"/>
    <hyperlink ref="K140" r:id="rId57" xr:uid="{00000000-0004-0000-0100-000038000000}"/>
    <hyperlink ref="B137" r:id="rId58" xr:uid="{00000000-0004-0000-0100-000039000000}"/>
    <hyperlink ref="K137" r:id="rId59" xr:uid="{00000000-0004-0000-0100-00003A000000}"/>
    <hyperlink ref="B139" r:id="rId60" xr:uid="{00000000-0004-0000-0100-00003B000000}"/>
    <hyperlink ref="K139" r:id="rId61" xr:uid="{00000000-0004-0000-0100-00003C000000}"/>
    <hyperlink ref="B138" r:id="rId62" xr:uid="{00000000-0004-0000-0100-00003D000000}"/>
    <hyperlink ref="K138" r:id="rId63" xr:uid="{00000000-0004-0000-0100-00003E000000}"/>
    <hyperlink ref="B136" r:id="rId64" xr:uid="{00000000-0004-0000-0100-00003F000000}"/>
    <hyperlink ref="K136" r:id="rId65" xr:uid="{00000000-0004-0000-0100-000040000000}"/>
    <hyperlink ref="B135" r:id="rId66" xr:uid="{00000000-0004-0000-0100-000041000000}"/>
    <hyperlink ref="K135" r:id="rId67" xr:uid="{00000000-0004-0000-0100-000042000000}"/>
    <hyperlink ref="B134" r:id="rId68" xr:uid="{00000000-0004-0000-0100-000043000000}"/>
    <hyperlink ref="K134" r:id="rId69" xr:uid="{00000000-0004-0000-0100-000044000000}"/>
    <hyperlink ref="K164" r:id="rId70" xr:uid="{00000000-0004-0000-0100-000045000000}"/>
    <hyperlink ref="B133" r:id="rId71" xr:uid="{00000000-0004-0000-0100-000046000000}"/>
    <hyperlink ref="K133" r:id="rId72" xr:uid="{00000000-0004-0000-0100-000047000000}"/>
    <hyperlink ref="B132" r:id="rId73" xr:uid="{00000000-0004-0000-0100-000048000000}"/>
    <hyperlink ref="B131" r:id="rId74" xr:uid="{00000000-0004-0000-0100-000049000000}"/>
    <hyperlink ref="K131" r:id="rId75" xr:uid="{00000000-0004-0000-0100-00004A000000}"/>
    <hyperlink ref="K132" r:id="rId76" xr:uid="{00000000-0004-0000-0100-00004B000000}"/>
    <hyperlink ref="A177" r:id="rId77" xr:uid="{00000000-0004-0000-0100-00004E000000}"/>
    <hyperlink ref="B124" r:id="rId78" xr:uid="{00000000-0004-0000-0100-000051000000}"/>
    <hyperlink ref="K124" r:id="rId79" xr:uid="{00000000-0004-0000-0100-000052000000}"/>
    <hyperlink ref="B123" r:id="rId80" xr:uid="{00000000-0004-0000-0100-000053000000}"/>
    <hyperlink ref="B129" r:id="rId81" xr:uid="{00000000-0004-0000-0100-000054000000}"/>
    <hyperlink ref="B128" r:id="rId82" xr:uid="{00000000-0004-0000-0100-000055000000}"/>
    <hyperlink ref="B127" r:id="rId83" xr:uid="{00000000-0004-0000-0100-000056000000}"/>
    <hyperlink ref="B126" r:id="rId84" xr:uid="{00000000-0004-0000-0100-000057000000}"/>
    <hyperlink ref="K123" r:id="rId85" xr:uid="{00000000-0004-0000-0100-000058000000}"/>
    <hyperlink ref="B122" r:id="rId86" xr:uid="{00000000-0004-0000-0100-000059000000}"/>
    <hyperlink ref="B121" r:id="rId87" xr:uid="{00000000-0004-0000-0100-00005A000000}"/>
    <hyperlink ref="K121" r:id="rId88" xr:uid="{00000000-0004-0000-0100-00005B000000}"/>
    <hyperlink ref="K122" r:id="rId89" xr:uid="{00000000-0004-0000-0100-00005C000000}"/>
    <hyperlink ref="K126" r:id="rId90" xr:uid="{00000000-0004-0000-0100-00005D000000}"/>
    <hyperlink ref="K127" r:id="rId91" xr:uid="{00000000-0004-0000-0100-00005E000000}"/>
    <hyperlink ref="K128" r:id="rId92" xr:uid="{00000000-0004-0000-0100-00005F000000}"/>
    <hyperlink ref="K129" r:id="rId93" xr:uid="{00000000-0004-0000-0100-000060000000}"/>
    <hyperlink ref="B118" r:id="rId94" xr:uid="{00000000-0004-0000-0100-000061000000}"/>
    <hyperlink ref="B114" r:id="rId95" xr:uid="{00000000-0004-0000-0100-000062000000}"/>
    <hyperlink ref="K114" r:id="rId96" xr:uid="{00000000-0004-0000-0100-000063000000}"/>
    <hyperlink ref="B117" r:id="rId97" xr:uid="{00000000-0004-0000-0100-000064000000}"/>
    <hyperlink ref="K117" r:id="rId98" xr:uid="{00000000-0004-0000-0100-000065000000}"/>
    <hyperlink ref="B130" r:id="rId99" xr:uid="{00000000-0004-0000-0100-000066000000}"/>
    <hyperlink ref="K130" r:id="rId100" xr:uid="{00000000-0004-0000-0100-000067000000}"/>
    <hyperlink ref="B116" r:id="rId101" xr:uid="{00000000-0004-0000-0100-000068000000}"/>
    <hyperlink ref="K116" r:id="rId102" xr:uid="{00000000-0004-0000-0100-000069000000}"/>
    <hyperlink ref="K118" r:id="rId103" xr:uid="{00000000-0004-0000-0100-00006C000000}"/>
    <hyperlink ref="B115" r:id="rId104" xr:uid="{00000000-0004-0000-0100-00006D000000}"/>
    <hyperlink ref="K115" r:id="rId105" xr:uid="{00000000-0004-0000-0100-00006E000000}"/>
    <hyperlink ref="B112" r:id="rId106" xr:uid="{00000000-0004-0000-0100-00006F000000}"/>
    <hyperlink ref="K112" r:id="rId107" xr:uid="{00000000-0004-0000-0100-000070000000}"/>
    <hyperlink ref="B110" r:id="rId108" xr:uid="{00000000-0004-0000-0100-000071000000}"/>
    <hyperlink ref="K110" r:id="rId109" xr:uid="{00000000-0004-0000-0100-000072000000}"/>
    <hyperlink ref="B125" r:id="rId110" xr:uid="{00000000-0004-0000-0100-000073000000}"/>
    <hyperlink ref="K125" r:id="rId111" xr:uid="{00000000-0004-0000-0100-000074000000}"/>
    <hyperlink ref="B113" r:id="rId112" xr:uid="{00000000-0004-0000-0100-000075000000}"/>
    <hyperlink ref="K113" r:id="rId113" xr:uid="{00000000-0004-0000-0100-000076000000}"/>
    <hyperlink ref="B111" r:id="rId114" xr:uid="{00000000-0004-0000-0100-000077000000}"/>
    <hyperlink ref="K111" r:id="rId115" xr:uid="{00000000-0004-0000-0100-000078000000}"/>
    <hyperlink ref="B109" r:id="rId116" xr:uid="{00000000-0004-0000-0100-000079000000}"/>
    <hyperlink ref="K109" r:id="rId117" xr:uid="{00000000-0004-0000-0100-00007A000000}"/>
    <hyperlink ref="B108" r:id="rId118" xr:uid="{00000000-0004-0000-0100-00007B000000}"/>
    <hyperlink ref="K108" r:id="rId119" xr:uid="{00000000-0004-0000-0100-00007C000000}"/>
    <hyperlink ref="B106" r:id="rId120" xr:uid="{00000000-0004-0000-0100-00007D000000}"/>
    <hyperlink ref="K106" r:id="rId121" xr:uid="{00000000-0004-0000-0100-00007E000000}"/>
    <hyperlink ref="K174" r:id="rId122" xr:uid="{00000000-0004-0000-0100-000080000000}"/>
    <hyperlink ref="B105" r:id="rId123" xr:uid="{00000000-0004-0000-0100-000081000000}"/>
    <hyperlink ref="K105" r:id="rId124" xr:uid="{00000000-0004-0000-0100-000082000000}"/>
    <hyperlink ref="B107" r:id="rId125" xr:uid="{00000000-0004-0000-0100-000083000000}"/>
    <hyperlink ref="K107" r:id="rId126" xr:uid="{00000000-0004-0000-0100-000084000000}"/>
    <hyperlink ref="B103" r:id="rId127" xr:uid="{00000000-0004-0000-0100-000085000000}"/>
    <hyperlink ref="K103" r:id="rId128" xr:uid="{00000000-0004-0000-0100-000086000000}"/>
    <hyperlink ref="B101" r:id="rId129" xr:uid="{00000000-0004-0000-0100-000087000000}"/>
    <hyperlink ref="K101" r:id="rId130" xr:uid="{00000000-0004-0000-0100-000088000000}"/>
    <hyperlink ref="B102" r:id="rId131" xr:uid="{00000000-0004-0000-0100-000089000000}"/>
    <hyperlink ref="K102" r:id="rId132" xr:uid="{00000000-0004-0000-0100-00008A000000}"/>
    <hyperlink ref="B98" r:id="rId133" xr:uid="{00000000-0004-0000-0100-00008B000000}"/>
    <hyperlink ref="K98" r:id="rId134" xr:uid="{00000000-0004-0000-0100-00008C000000}"/>
    <hyperlink ref="B104" r:id="rId135" xr:uid="{00000000-0004-0000-0100-00008D000000}"/>
    <hyperlink ref="K104" r:id="rId136" xr:uid="{00000000-0004-0000-0100-00008E000000}"/>
    <hyperlink ref="B97" r:id="rId137" xr:uid="{00000000-0004-0000-0100-00008F000000}"/>
    <hyperlink ref="K97" r:id="rId138" xr:uid="{00000000-0004-0000-0100-000090000000}"/>
    <hyperlink ref="K173" r:id="rId139" xr:uid="{00000000-0004-0000-0100-000091000000}"/>
    <hyperlink ref="K176" r:id="rId140" xr:uid="{00000000-0004-0000-0100-000093000000}"/>
    <hyperlink ref="B92" r:id="rId141" xr:uid="{00000000-0004-0000-0100-000094000000}"/>
    <hyperlink ref="K92" r:id="rId142" xr:uid="{00000000-0004-0000-0100-000095000000}"/>
    <hyperlink ref="K96" r:id="rId143" xr:uid="{00000000-0004-0000-0100-000097000000}"/>
    <hyperlink ref="B96" r:id="rId144" xr:uid="{00000000-0004-0000-0100-000098000000}"/>
    <hyperlink ref="B86" r:id="rId145" xr:uid="{00000000-0004-0000-0100-000099000000}"/>
    <hyperlink ref="K86" r:id="rId146" xr:uid="{00000000-0004-0000-0100-00009A000000}"/>
    <hyperlink ref="B120" r:id="rId147" xr:uid="{00000000-0004-0000-0100-00009B000000}"/>
    <hyperlink ref="K120" r:id="rId148" xr:uid="{00000000-0004-0000-0100-00009C000000}"/>
    <hyperlink ref="B84" r:id="rId149" xr:uid="{00000000-0004-0000-0100-00009D000000}"/>
    <hyperlink ref="B100" r:id="rId150" xr:uid="{00000000-0004-0000-0100-00009E000000}"/>
    <hyperlink ref="B91" r:id="rId151" xr:uid="{00000000-0004-0000-0100-00009F000000}"/>
    <hyperlink ref="B90" r:id="rId152" xr:uid="{00000000-0004-0000-0100-0000A0000000}"/>
    <hyperlink ref="B89" r:id="rId153" xr:uid="{00000000-0004-0000-0100-0000A1000000}"/>
    <hyperlink ref="K89" r:id="rId154" xr:uid="{00000000-0004-0000-0100-0000A2000000}"/>
    <hyperlink ref="B119" r:id="rId155" xr:uid="{00000000-0004-0000-0100-0000A3000000}"/>
    <hyperlink ref="B95" r:id="rId156" xr:uid="{00000000-0004-0000-0100-0000A4000000}"/>
    <hyperlink ref="K95" r:id="rId157" xr:uid="{00000000-0004-0000-0100-0000A5000000}"/>
    <hyperlink ref="B94" r:id="rId158" xr:uid="{00000000-0004-0000-0100-0000A6000000}"/>
    <hyperlink ref="K94" r:id="rId159" xr:uid="{00000000-0004-0000-0100-0000A7000000}"/>
    <hyperlink ref="B83" r:id="rId160" xr:uid="{00000000-0004-0000-0100-0000A8000000}"/>
    <hyperlink ref="K91" r:id="rId161" xr:uid="{00000000-0004-0000-0100-0000A9000000}"/>
    <hyperlink ref="B99" r:id="rId162" xr:uid="{00000000-0004-0000-0100-0000AA000000}"/>
    <hyperlink ref="K99" r:id="rId163" xr:uid="{00000000-0004-0000-0100-0000AB000000}"/>
    <hyperlink ref="K83" r:id="rId164" xr:uid="{00000000-0004-0000-0100-0000AC000000}"/>
    <hyperlink ref="K84" r:id="rId165" xr:uid="{00000000-0004-0000-0100-0000AD000000}"/>
    <hyperlink ref="K90" r:id="rId166" xr:uid="{00000000-0004-0000-0100-0000AE000000}"/>
    <hyperlink ref="K100" r:id="rId167" xr:uid="{00000000-0004-0000-0100-0000AF000000}"/>
    <hyperlink ref="K119" r:id="rId168" xr:uid="{00000000-0004-0000-0100-0000B0000000}"/>
    <hyperlink ref="B82" r:id="rId169" xr:uid="{00000000-0004-0000-0100-0000B1000000}"/>
    <hyperlink ref="K82" r:id="rId170" xr:uid="{00000000-0004-0000-0100-0000B2000000}"/>
    <hyperlink ref="B79" r:id="rId171" xr:uid="{00000000-0004-0000-0100-0000B3000000}"/>
    <hyperlink ref="B81" r:id="rId172" xr:uid="{00000000-0004-0000-0100-0000B4000000}"/>
    <hyperlink ref="B72" r:id="rId173" xr:uid="{00000000-0004-0000-0100-0000B5000000}"/>
    <hyperlink ref="K79" r:id="rId174" xr:uid="{00000000-0004-0000-0100-0000B6000000}"/>
    <hyperlink ref="K81" r:id="rId175" xr:uid="{00000000-0004-0000-0100-0000B7000000}"/>
    <hyperlink ref="B88" r:id="rId176" display="VIALES-005213" xr:uid="{00000000-0004-0000-0100-0000B8000000}"/>
    <hyperlink ref="K88" r:id="rId177" xr:uid="{00000000-0004-0000-0100-0000B9000000}"/>
    <hyperlink ref="B77" r:id="rId178" xr:uid="{00000000-0004-0000-0100-0000BA000000}"/>
    <hyperlink ref="K77" r:id="rId179" xr:uid="{00000000-0004-0000-0100-0000BB000000}"/>
    <hyperlink ref="B73" r:id="rId180" xr:uid="{00000000-0004-0000-0100-0000BC000000}"/>
    <hyperlink ref="K72" r:id="rId181" xr:uid="{00000000-0004-0000-0100-0000BD000000}"/>
    <hyperlink ref="B71" r:id="rId182" xr:uid="{00000000-0004-0000-0100-0000BE000000}"/>
    <hyperlink ref="K71" r:id="rId183" xr:uid="{00000000-0004-0000-0100-0000BF000000}"/>
    <hyperlink ref="B87" r:id="rId184" xr:uid="{00000000-0004-0000-0100-0000C0000000}"/>
    <hyperlink ref="K87" r:id="rId185" xr:uid="{00000000-0004-0000-0100-0000C1000000}"/>
    <hyperlink ref="B78" r:id="rId186" xr:uid="{00000000-0004-0000-0100-0000C2000000}"/>
    <hyperlink ref="K78" r:id="rId187" xr:uid="{00000000-0004-0000-0100-0000C3000000}"/>
    <hyperlink ref="B80" r:id="rId188" xr:uid="{00000000-0004-0000-0100-0000C4000000}"/>
    <hyperlink ref="B74" r:id="rId189" xr:uid="{00000000-0004-0000-0100-0000C5000000}"/>
    <hyperlink ref="K73" r:id="rId190" xr:uid="{00000000-0004-0000-0100-0000C6000000}"/>
    <hyperlink ref="B70" r:id="rId191" xr:uid="{00000000-0004-0000-0100-0000C7000000}"/>
    <hyperlink ref="K80" r:id="rId192" xr:uid="{00000000-0004-0000-0100-0000C8000000}"/>
    <hyperlink ref="K74" r:id="rId193" xr:uid="{00000000-0004-0000-0100-0000C9000000}"/>
    <hyperlink ref="K70" r:id="rId194" xr:uid="{00000000-0004-0000-0100-0000CA000000}"/>
    <hyperlink ref="K69" r:id="rId195" xr:uid="{00000000-0004-0000-0100-0000CB000000}"/>
    <hyperlink ref="B69" r:id="rId196" xr:uid="{00000000-0004-0000-0100-0000CC000000}"/>
    <hyperlink ref="B66" r:id="rId197" xr:uid="{00000000-0004-0000-0100-0000CD000000}"/>
    <hyperlink ref="B65" r:id="rId198" xr:uid="{00000000-0004-0000-0100-0000CE000000}"/>
    <hyperlink ref="B64" r:id="rId199" xr:uid="{00000000-0004-0000-0100-0000CF000000}"/>
    <hyperlink ref="B76" r:id="rId200" xr:uid="{00000000-0004-0000-0100-0000D0000000}"/>
    <hyperlink ref="K65" r:id="rId201" xr:uid="{00000000-0004-0000-0100-0000D2000000}"/>
    <hyperlink ref="B63" r:id="rId202" xr:uid="{00000000-0004-0000-0100-0000D3000000}"/>
    <hyperlink ref="K63" r:id="rId203" xr:uid="{00000000-0004-0000-0100-0000D4000000}"/>
    <hyperlink ref="K76" r:id="rId204" xr:uid="{00000000-0004-0000-0100-0000D5000000}"/>
    <hyperlink ref="B62" r:id="rId205" xr:uid="{00000000-0004-0000-0100-0000D6000000}"/>
    <hyperlink ref="K62" r:id="rId206" xr:uid="{00000000-0004-0000-0100-0000D7000000}"/>
    <hyperlink ref="B68" r:id="rId207" xr:uid="{00000000-0004-0000-0100-0000D8000000}"/>
    <hyperlink ref="B75" r:id="rId208" xr:uid="{00000000-0004-0000-0100-0000D9000000}"/>
    <hyperlink ref="K64" r:id="rId209" xr:uid="{00000000-0004-0000-0100-0000DB000000}"/>
    <hyperlink ref="B93" r:id="rId210" xr:uid="{00000000-0004-0000-0100-0000DC000000}"/>
    <hyperlink ref="K93" r:id="rId211" xr:uid="{00000000-0004-0000-0100-0000DD000000}"/>
    <hyperlink ref="B58" r:id="rId212" xr:uid="{00000000-0004-0000-0100-0000DE000000}"/>
    <hyperlink ref="K58" r:id="rId213" xr:uid="{00000000-0004-0000-0100-0000DF000000}"/>
    <hyperlink ref="B8" r:id="rId214" xr:uid="{00000000-0004-0000-0100-0000E0000000}"/>
    <hyperlink ref="K8" r:id="rId215" xr:uid="{00000000-0004-0000-0100-0000E1000000}"/>
    <hyperlink ref="B61" r:id="rId216" xr:uid="{00000000-0004-0000-0100-0000E2000000}"/>
    <hyperlink ref="K61" r:id="rId217" xr:uid="{00000000-0004-0000-0100-0000E3000000}"/>
    <hyperlink ref="B60" r:id="rId218" xr:uid="{00000000-0004-0000-0100-0000E4000000}"/>
    <hyperlink ref="K60" r:id="rId219" xr:uid="{00000000-0004-0000-0100-0000E5000000}"/>
    <hyperlink ref="K66" r:id="rId220" xr:uid="{00000000-0004-0000-0100-0000E8000000}"/>
    <hyperlink ref="K68" r:id="rId221" xr:uid="{00000000-0004-0000-0100-0000E9000000}"/>
    <hyperlink ref="K75" r:id="rId222" xr:uid="{00000000-0004-0000-0100-0000EA000000}"/>
    <hyperlink ref="B52" r:id="rId223" xr:uid="{00000000-0004-0000-0100-0000EF000000}"/>
    <hyperlink ref="B56" r:id="rId224" xr:uid="{00000000-0004-0000-0100-0000F0000000}"/>
    <hyperlink ref="K56" r:id="rId225" xr:uid="{00000000-0004-0000-0100-0000F1000000}"/>
    <hyperlink ref="K52" r:id="rId226" xr:uid="{00000000-0004-0000-0100-0000F2000000}"/>
    <hyperlink ref="K53" r:id="rId227" xr:uid="{00000000-0004-0000-0100-0000F3000000}"/>
    <hyperlink ref="K67" r:id="rId228" xr:uid="{00000000-0004-0000-0100-0000F5000000}"/>
    <hyperlink ref="B67" r:id="rId229" xr:uid="{00000000-0004-0000-0100-0000F6000000}"/>
    <hyperlink ref="B48" r:id="rId230" xr:uid="{00000000-0004-0000-0100-0000F7000000}"/>
    <hyperlink ref="K48" r:id="rId231" xr:uid="{00000000-0004-0000-0100-0000F8000000}"/>
    <hyperlink ref="B59" r:id="rId232" xr:uid="{00000000-0004-0000-0100-0000F9000000}"/>
    <hyperlink ref="B51" r:id="rId233" xr:uid="{00000000-0004-0000-0100-0000FA000000}"/>
    <hyperlink ref="K51" r:id="rId234" xr:uid="{00000000-0004-0000-0100-0000FB000000}"/>
    <hyperlink ref="B47" r:id="rId235" xr:uid="{00000000-0004-0000-0100-0000FC000000}"/>
    <hyperlink ref="K47" r:id="rId236" xr:uid="{00000000-0004-0000-0100-0000FD000000}"/>
    <hyperlink ref="K59" r:id="rId237" xr:uid="{00000000-0004-0000-0100-0000FE000000}"/>
    <hyperlink ref="B53" r:id="rId238" xr:uid="{00000000-0004-0000-0100-0000FF000000}"/>
    <hyperlink ref="B46" r:id="rId239" xr:uid="{00000000-0004-0000-0100-000000010000}"/>
    <hyperlink ref="B45" r:id="rId240" xr:uid="{00000000-0004-0000-0100-000001010000}"/>
    <hyperlink ref="B57" r:id="rId241" xr:uid="{00000000-0004-0000-0100-000002010000}"/>
    <hyperlink ref="K46" r:id="rId242" xr:uid="{00000000-0004-0000-0100-000003010000}"/>
    <hyperlink ref="B42" r:id="rId243" xr:uid="{00000000-0004-0000-0100-000004010000}"/>
    <hyperlink ref="K42" r:id="rId244" xr:uid="{00000000-0004-0000-0100-000005010000}"/>
    <hyperlink ref="B44" r:id="rId245" xr:uid="{00000000-0004-0000-0100-000006010000}"/>
    <hyperlink ref="B41" r:id="rId246" xr:uid="{00000000-0004-0000-0100-000007010000}"/>
    <hyperlink ref="K41" r:id="rId247" xr:uid="{00000000-0004-0000-0100-000008010000}"/>
    <hyperlink ref="B40" r:id="rId248" xr:uid="{00000000-0004-0000-0100-000009010000}"/>
    <hyperlink ref="K40" r:id="rId249" xr:uid="{00000000-0004-0000-0100-00000A010000}"/>
    <hyperlink ref="B43" r:id="rId250" xr:uid="{00000000-0004-0000-0100-00000B010000}"/>
    <hyperlink ref="K43" r:id="rId251" xr:uid="{00000000-0004-0000-0100-00000C010000}"/>
    <hyperlink ref="K44" r:id="rId252" xr:uid="{00000000-0004-0000-0100-00000D010000}"/>
    <hyperlink ref="B50" r:id="rId253" xr:uid="{00000000-0004-0000-0100-00000E010000}"/>
    <hyperlink ref="K50" r:id="rId254" xr:uid="{00000000-0004-0000-0100-00000F010000}"/>
    <hyperlink ref="B49" r:id="rId255" xr:uid="{00000000-0004-0000-0100-000010010000}"/>
    <hyperlink ref="K49" r:id="rId256" xr:uid="{00000000-0004-0000-0100-000011010000}"/>
    <hyperlink ref="B85" r:id="rId257" xr:uid="{00000000-0004-0000-0100-000012010000}"/>
    <hyperlink ref="K85" r:id="rId258" xr:uid="{00000000-0004-0000-0100-000013010000}"/>
    <hyperlink ref="B55" r:id="rId259" xr:uid="{00000000-0004-0000-0100-000015010000}"/>
    <hyperlink ref="B54" r:id="rId260" xr:uid="{00000000-0004-0000-0100-000016010000}"/>
    <hyperlink ref="K55" r:id="rId261" xr:uid="{00000000-0004-0000-0100-000017010000}"/>
    <hyperlink ref="K54" r:id="rId262" xr:uid="{00000000-0004-0000-0100-000018010000}"/>
    <hyperlink ref="B39" r:id="rId263" xr:uid="{00000000-0004-0000-0100-000019010000}"/>
    <hyperlink ref="K39" r:id="rId264" xr:uid="{00000000-0004-0000-0100-00001A010000}"/>
    <hyperlink ref="B34" r:id="rId265" xr:uid="{00000000-0004-0000-0100-00001B010000}"/>
    <hyperlink ref="K34" r:id="rId266" xr:uid="{00000000-0004-0000-0100-00001C010000}"/>
    <hyperlink ref="B37" r:id="rId267" xr:uid="{00000000-0004-0000-0100-00001D010000}"/>
    <hyperlink ref="K37" r:id="rId268" xr:uid="{00000000-0004-0000-0100-00001E010000}"/>
    <hyperlink ref="B35" r:id="rId269" xr:uid="{00000000-0004-0000-0100-00001F010000}"/>
    <hyperlink ref="K35" r:id="rId270" xr:uid="{00000000-0004-0000-0100-000020010000}"/>
    <hyperlink ref="B36" r:id="rId271" xr:uid="{00000000-0004-0000-0100-000021010000}"/>
    <hyperlink ref="K36" r:id="rId272" xr:uid="{00000000-0004-0000-0100-000022010000}"/>
    <hyperlink ref="B33" r:id="rId273" xr:uid="{00000000-0004-0000-0100-000023010000}"/>
    <hyperlink ref="K33" r:id="rId274" xr:uid="{00000000-0004-0000-0100-000024010000}"/>
    <hyperlink ref="B32" r:id="rId275" xr:uid="{00000000-0004-0000-0100-000025010000}"/>
    <hyperlink ref="K32" r:id="rId276" xr:uid="{00000000-0004-0000-0100-000026010000}"/>
    <hyperlink ref="K175" r:id="rId277" xr:uid="{00000000-0004-0000-0100-000028010000}"/>
    <hyperlink ref="B30" r:id="rId278" xr:uid="{00000000-0004-0000-0100-000029010000}"/>
    <hyperlink ref="K30" r:id="rId279" xr:uid="{00000000-0004-0000-0100-00002A010000}"/>
    <hyperlink ref="B29" r:id="rId280" xr:uid="{00000000-0004-0000-0100-00002B010000}"/>
    <hyperlink ref="K29" r:id="rId281" xr:uid="{00000000-0004-0000-0100-00002C010000}"/>
    <hyperlink ref="B28" r:id="rId282" xr:uid="{00000000-0004-0000-0100-00002F010000}"/>
    <hyperlink ref="B26" r:id="rId283" xr:uid="{00000000-0004-0000-0100-000030010000}"/>
    <hyperlink ref="K26" r:id="rId284" xr:uid="{00000000-0004-0000-0100-000032010000}"/>
    <hyperlink ref="K28" r:id="rId285" xr:uid="{00000000-0004-0000-0100-000033010000}"/>
    <hyperlink ref="B25" r:id="rId286" xr:uid="{00000000-0004-0000-0100-000035010000}"/>
    <hyperlink ref="K25" r:id="rId287" xr:uid="{00000000-0004-0000-0100-000036010000}"/>
    <hyperlink ref="B31" r:id="rId288" xr:uid="{00000000-0004-0000-0100-000037010000}"/>
    <hyperlink ref="K31" r:id="rId289" xr:uid="{00000000-0004-0000-0100-000038010000}"/>
    <hyperlink ref="B24" r:id="rId290" xr:uid="{00000000-0004-0000-0100-000039010000}"/>
    <hyperlink ref="K24" r:id="rId291" xr:uid="{00000000-0004-0000-0100-00003A010000}"/>
    <hyperlink ref="B23" r:id="rId292" xr:uid="{00000000-0004-0000-0100-00003B010000}"/>
    <hyperlink ref="K23" r:id="rId293" xr:uid="{00000000-0004-0000-0100-00003C010000}"/>
    <hyperlink ref="B21" r:id="rId294" xr:uid="{17E9550C-0518-44E9-84F5-B20971799215}"/>
    <hyperlink ref="K21" r:id="rId295" xr:uid="{5C1FD09B-0502-4794-9FD6-6E1E9668377D}"/>
    <hyperlink ref="B18" r:id="rId296" xr:uid="{B4746908-963E-4119-98D7-4B3F99C14CAB}"/>
    <hyperlink ref="K18" r:id="rId297" xr:uid="{9F18D3B1-A6AF-4C56-87A6-3EAC11C97057}"/>
    <hyperlink ref="B20" r:id="rId298" xr:uid="{0C8E0054-C11C-46D3-810A-5118515B0F87}"/>
    <hyperlink ref="K20" r:id="rId299" xr:uid="{2F5F25FA-5680-4867-A304-04E43DED6164}"/>
    <hyperlink ref="B19" r:id="rId300" xr:uid="{0C947FBE-3D47-4BD0-9859-6C72DFDEFAD8}"/>
    <hyperlink ref="B27" r:id="rId301" xr:uid="{C1437730-6CA9-423B-A3F1-7CC85BA2CFC4}"/>
    <hyperlink ref="K27" r:id="rId302" xr:uid="{B9BC744C-2F1F-49E8-8C80-058590CE4A7F}"/>
    <hyperlink ref="B172" r:id="rId303" xr:uid="{D640EBB6-10EB-49A5-BE17-50F8FCA50639}"/>
    <hyperlink ref="K17" r:id="rId304" xr:uid="{4513FBCB-DD4E-4B23-8A99-532BEDF4EC47}"/>
    <hyperlink ref="B16" r:id="rId305" xr:uid="{F08AF297-AE05-416D-9319-6D0D9702F227}"/>
    <hyperlink ref="K16" r:id="rId306" xr:uid="{4B8C0333-F65E-44BF-BC33-CD4ED4DA81B2}"/>
    <hyperlink ref="B22" r:id="rId307" xr:uid="{12824204-6680-4087-9201-C243BD50C80E}"/>
    <hyperlink ref="K22" r:id="rId308" xr:uid="{D40089B5-E172-4D79-B0AF-BB3C96F353A8}"/>
    <hyperlink ref="B38" r:id="rId309" xr:uid="{6E2F8A1E-D24F-402B-8E59-9447A9D88F63}"/>
    <hyperlink ref="B15" r:id="rId310" xr:uid="{4896D673-8E9E-45AB-A4C1-E89BCAF8D0DB}"/>
    <hyperlink ref="K15" r:id="rId311" xr:uid="{011ED250-C521-45BB-ACFA-C7F40252AE11}"/>
    <hyperlink ref="K38" r:id="rId312" xr:uid="{49AA83AC-3177-49DD-A18E-561D6C282626}"/>
    <hyperlink ref="B14" r:id="rId313" xr:uid="{E6F7E9F7-E686-48C8-A2AB-4181246E7FCF}"/>
    <hyperlink ref="K14" r:id="rId314" xr:uid="{204B0950-FC5E-45DB-BA77-1B65E8279968}"/>
    <hyperlink ref="B7" r:id="rId315" xr:uid="{4C6347EF-EA14-4733-9F3A-6D4FC6AE4A10}"/>
    <hyperlink ref="K7" r:id="rId316" xr:uid="{B5B2EE43-39DD-4E53-AC65-042DDBCBDF61}"/>
    <hyperlink ref="B5" r:id="rId317" xr:uid="{63774034-F528-4BA7-943B-97EC5BCBE2AE}"/>
    <hyperlink ref="K5" r:id="rId318" xr:uid="{7C9220D8-79C1-4D6E-BD35-8142864E99DB}"/>
    <hyperlink ref="B6" r:id="rId319" xr:uid="{1F69D783-F208-459A-A358-C7722FAC568E}"/>
    <hyperlink ref="B12" r:id="rId320" xr:uid="{A5BFF345-0346-4BC6-B522-0861340255C5}"/>
    <hyperlink ref="B13" r:id="rId321" xr:uid="{EB67C0FA-AC96-429D-9C59-1E000F623F64}"/>
    <hyperlink ref="B11" r:id="rId322" xr:uid="{10C9A207-4404-4BCF-A96F-FD30179D9C3B}"/>
    <hyperlink ref="B10" r:id="rId323" xr:uid="{14AE056A-D6E4-4FC9-A03D-D97539711115}"/>
    <hyperlink ref="B176" r:id="rId324" xr:uid="{3DB95737-AE57-4A30-BC74-2009AAAC3C74}"/>
    <hyperlink ref="B175" r:id="rId325" xr:uid="{777A6F95-7C0E-4D61-8A1D-8A382E7E36FF}"/>
    <hyperlink ref="B173" r:id="rId326" xr:uid="{F5DC167D-03BC-4751-B879-39009DA15385}"/>
    <hyperlink ref="B174" r:id="rId327" xr:uid="{E668B3BA-DB4C-4288-9817-49F5E1F0F2AD}"/>
    <hyperlink ref="K11" r:id="rId328" xr:uid="{5AADBD09-3F29-41D1-AE83-D7C1BA45891F}"/>
    <hyperlink ref="B9" r:id="rId329" xr:uid="{AB42919B-4968-4B01-A92A-79BE4044A68F}"/>
    <hyperlink ref="K9" r:id="rId330" xr:uid="{C8C2586E-FEE7-422B-A153-BC9F01F86F50}"/>
  </hyperlinks>
  <pageMargins left="0.7" right="0.7" top="0.75" bottom="0.75" header="0.3" footer="0.3"/>
  <pageSetup paperSize="9" scale="37" fitToHeight="0" orientation="landscape" horizontalDpi="300" verticalDpi="300" r:id="rId331"/>
  <drawing r:id="rId332"/>
  <tableParts count="1">
    <tablePart r:id="rId33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zoomScaleNormal="100" workbookViewId="0">
      <selection activeCell="I6" sqref="I6"/>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62" t="s">
        <v>18</v>
      </c>
      <c r="B2" s="263"/>
      <c r="C2" s="263"/>
      <c r="D2" s="263"/>
      <c r="E2" s="263"/>
      <c r="F2" s="263"/>
      <c r="EZ2" s="38"/>
      <c r="FA2" s="38"/>
      <c r="FB2" s="38"/>
      <c r="FC2" s="38"/>
      <c r="FD2" s="38"/>
      <c r="FE2" s="38"/>
      <c r="FF2" s="38"/>
      <c r="FG2" s="38"/>
      <c r="FH2" s="38"/>
      <c r="FI2" s="38"/>
      <c r="FJ2" s="38"/>
    </row>
    <row r="3" spans="1:166" s="32" customFormat="1" ht="18.75" customHeight="1">
      <c r="A3" s="264" t="s">
        <v>13</v>
      </c>
      <c r="B3" s="265"/>
      <c r="C3" s="265"/>
      <c r="D3" s="265"/>
      <c r="E3" s="265"/>
      <c r="F3" s="265"/>
      <c r="EZ3" s="38"/>
      <c r="FA3" s="38"/>
      <c r="FB3" s="38"/>
      <c r="FC3" s="38"/>
      <c r="FD3" s="38"/>
      <c r="FE3" s="38"/>
      <c r="FF3" s="38"/>
      <c r="FG3" s="38"/>
      <c r="FH3" s="38"/>
      <c r="FI3" s="38"/>
      <c r="FJ3" s="38"/>
    </row>
    <row r="4" spans="1:166" s="32" customFormat="1" ht="23.25" customHeight="1">
      <c r="A4" s="34"/>
      <c r="B4" s="35" t="s">
        <v>14</v>
      </c>
      <c r="C4" s="41" t="s">
        <v>747</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80.5">
      <c r="A6" s="196">
        <v>4</v>
      </c>
      <c r="B6" s="277" t="s">
        <v>941</v>
      </c>
      <c r="C6" s="278" t="s">
        <v>636</v>
      </c>
      <c r="D6" s="279" t="s">
        <v>942</v>
      </c>
      <c r="E6" s="235" t="s">
        <v>292</v>
      </c>
      <c r="F6" s="236" t="s">
        <v>588</v>
      </c>
      <c r="EZ6" s="38"/>
      <c r="FA6" s="38"/>
      <c r="FB6" s="38"/>
      <c r="FC6" s="38"/>
      <c r="FD6" s="38"/>
      <c r="FE6" s="38"/>
      <c r="FF6" s="38"/>
      <c r="FG6" s="38"/>
      <c r="FH6" s="38"/>
      <c r="FI6" s="38"/>
      <c r="FJ6" s="38"/>
    </row>
    <row r="7" spans="1:166" s="32" customFormat="1" ht="192" customHeight="1">
      <c r="A7" s="196">
        <v>3</v>
      </c>
      <c r="B7" s="280" t="s">
        <v>943</v>
      </c>
      <c r="C7" s="278" t="s">
        <v>288</v>
      </c>
      <c r="D7" s="279" t="s">
        <v>944</v>
      </c>
      <c r="E7" s="235" t="s">
        <v>292</v>
      </c>
      <c r="F7" s="236" t="s">
        <v>289</v>
      </c>
      <c r="EZ7" s="38"/>
      <c r="FA7" s="38"/>
      <c r="FB7" s="38"/>
      <c r="FC7" s="38"/>
      <c r="FD7" s="38"/>
      <c r="FE7" s="38"/>
      <c r="FF7" s="38"/>
      <c r="FG7" s="38"/>
      <c r="FH7" s="38"/>
      <c r="FI7" s="38"/>
      <c r="FJ7" s="38"/>
    </row>
    <row r="8" spans="1:166" s="32" customFormat="1" ht="225.75" customHeight="1">
      <c r="A8" s="196">
        <v>2</v>
      </c>
      <c r="B8" s="280" t="s">
        <v>945</v>
      </c>
      <c r="C8" s="281" t="s">
        <v>290</v>
      </c>
      <c r="D8" s="279" t="s">
        <v>946</v>
      </c>
      <c r="E8" s="235" t="s">
        <v>292</v>
      </c>
      <c r="F8" s="237" t="s">
        <v>291</v>
      </c>
      <c r="L8" s="157"/>
      <c r="EZ8" s="38"/>
      <c r="FA8" s="38"/>
      <c r="FB8" s="38"/>
      <c r="FC8" s="38"/>
      <c r="FD8" s="38"/>
      <c r="FE8" s="38"/>
      <c r="FF8" s="38"/>
      <c r="FG8" s="38"/>
      <c r="FH8" s="38"/>
      <c r="FI8" s="38"/>
      <c r="FJ8" s="38"/>
    </row>
    <row r="9" spans="1:166" s="32" customFormat="1" ht="204">
      <c r="A9" s="196">
        <v>1</v>
      </c>
      <c r="B9" s="280" t="s">
        <v>947</v>
      </c>
      <c r="C9" s="281" t="s">
        <v>516</v>
      </c>
      <c r="D9" s="279" t="s">
        <v>948</v>
      </c>
      <c r="E9" s="235" t="s">
        <v>292</v>
      </c>
      <c r="F9" s="236" t="s">
        <v>589</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topLeftCell="A10"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6"/>
      <c r="D1" s="266"/>
      <c r="E1" s="266"/>
      <c r="F1" s="266"/>
      <c r="G1" s="266"/>
      <c r="H1" s="266"/>
    </row>
    <row r="2" spans="1:9" ht="48" customHeight="1">
      <c r="C2" s="28" t="s">
        <v>76</v>
      </c>
      <c r="D2" s="268" t="s">
        <v>77</v>
      </c>
      <c r="E2" s="268"/>
      <c r="F2" s="268"/>
      <c r="G2" s="268"/>
      <c r="H2" s="268"/>
    </row>
    <row r="3" spans="1:9" ht="21" customHeight="1">
      <c r="A3" s="11"/>
      <c r="B3" s="11"/>
      <c r="C3" s="267" t="s">
        <v>15</v>
      </c>
      <c r="D3" s="267"/>
      <c r="E3" s="267"/>
      <c r="F3" s="267"/>
      <c r="G3" s="267"/>
      <c r="H3" s="267"/>
    </row>
    <row r="4" spans="1:9" ht="21" customHeight="1">
      <c r="A4" s="10"/>
      <c r="B4" s="9" t="s">
        <v>14</v>
      </c>
      <c r="C4" s="41" t="s">
        <v>747</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150</v>
      </c>
      <c r="C51" s="86" t="s">
        <v>736</v>
      </c>
      <c r="D51" s="87">
        <v>45925</v>
      </c>
      <c r="E51" s="88" t="s">
        <v>114</v>
      </c>
      <c r="F51" s="92" t="s">
        <v>888</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topLeftCell="A7" zoomScale="90" zoomScaleNormal="90" workbookViewId="0">
      <selection activeCell="C4" sqref="C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69" t="s">
        <v>30</v>
      </c>
      <c r="B2" s="270"/>
      <c r="C2" s="270"/>
      <c r="D2" s="270"/>
      <c r="E2" s="270"/>
      <c r="F2" s="270"/>
      <c r="G2" s="270"/>
      <c r="H2" s="3"/>
      <c r="I2" s="3"/>
      <c r="J2" s="3"/>
      <c r="K2" s="3"/>
      <c r="L2" s="3"/>
      <c r="M2" s="3"/>
      <c r="N2" s="3"/>
      <c r="O2" s="3"/>
      <c r="P2" s="3"/>
      <c r="Q2" s="3"/>
      <c r="R2" s="3"/>
      <c r="S2" s="3"/>
    </row>
    <row r="3" spans="1:19" ht="27.75" customHeight="1">
      <c r="A3" s="271" t="s">
        <v>31</v>
      </c>
      <c r="B3" s="271"/>
      <c r="C3" s="271"/>
      <c r="D3" s="271"/>
      <c r="E3" s="271"/>
      <c r="F3" s="271"/>
      <c r="G3" s="271"/>
      <c r="H3" s="3"/>
      <c r="I3" s="3"/>
      <c r="J3" s="3"/>
      <c r="K3" s="3"/>
      <c r="L3" s="3"/>
      <c r="M3" s="3"/>
      <c r="N3" s="3"/>
      <c r="O3" s="3"/>
      <c r="P3" s="3"/>
      <c r="Q3" s="3"/>
      <c r="R3" s="3"/>
      <c r="S3" s="3"/>
    </row>
    <row r="4" spans="1:19" ht="15">
      <c r="B4" s="48" t="s">
        <v>14</v>
      </c>
      <c r="C4" s="41" t="s">
        <v>747</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2"/>
      <c r="B50" s="272"/>
      <c r="C50" s="272"/>
      <c r="D50" s="272"/>
      <c r="E50" s="272"/>
      <c r="F50" s="272"/>
    </row>
    <row r="62" spans="1:6">
      <c r="A62" t="s">
        <v>707</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topLeftCell="A31" zoomScale="98" zoomScaleNormal="98" workbookViewId="0">
      <selection activeCell="C4" sqref="C4"/>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3" t="s">
        <v>21</v>
      </c>
      <c r="D2" s="273"/>
      <c r="E2" s="273"/>
      <c r="F2" s="273"/>
      <c r="G2" s="273"/>
      <c r="H2" s="273"/>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74" t="s">
        <v>19</v>
      </c>
      <c r="F3" s="274"/>
      <c r="G3" s="274"/>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747</v>
      </c>
      <c r="E4" s="274"/>
      <c r="F4" s="274"/>
      <c r="G4" s="274"/>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394</v>
      </c>
      <c r="C56" s="61">
        <v>46042</v>
      </c>
      <c r="D56" s="62" t="s">
        <v>392</v>
      </c>
      <c r="E56" s="63" t="s">
        <v>393</v>
      </c>
      <c r="F56" s="156" t="s">
        <v>298</v>
      </c>
      <c r="G56" s="65" t="s">
        <v>889</v>
      </c>
      <c r="H56" s="66" t="s">
        <v>417</v>
      </c>
      <c r="I56" s="128" t="s">
        <v>27</v>
      </c>
      <c r="J56" s="108">
        <v>-12.779</v>
      </c>
      <c r="K56" s="109">
        <v>-74.862300000000005</v>
      </c>
    </row>
    <row r="57" spans="1:35" ht="315" customHeight="1">
      <c r="A57" s="60">
        <v>1</v>
      </c>
      <c r="B57" s="110" t="s">
        <v>24</v>
      </c>
      <c r="C57" s="61">
        <v>43454</v>
      </c>
      <c r="D57" s="62" t="s">
        <v>20</v>
      </c>
      <c r="E57" s="63" t="s">
        <v>23</v>
      </c>
      <c r="F57" s="64" t="s">
        <v>12</v>
      </c>
      <c r="G57" s="65" t="s">
        <v>890</v>
      </c>
      <c r="H57" s="66" t="s">
        <v>416</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0.xml>��< ? x m l   v e r s i o n = " 1 . 0 "   e n c o d i n g = " U T F - 1 6 " ? > < G e m i n i   x m l n s = " h t t p : / / g e m i n i / p i v o t c u s t o m i z a t i o n / S h o w H i d d e n " > < C u s t o m C o n t e n t > < ! [ C D A T A [ T r u e ] ] > < / C u s t o m C o n t e n t > < / G e m i n i > 
</file>

<file path=customXml/item11.xml>��< ? x m l   v e r s i o n = " 1 . 0 "   e n c o d i n g = " U T F - 1 6 " ? > < G e m i n i   x m l n s = " h t t p : / / g e m i n i / p i v o t c u s t o m i z a t i o n / T a b l e C o u n t I n S a n d b o x " > < C u s t o m C o n t e n t > < ! [ C D A T A [ 4 ] ] > < / 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5.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S a n d b o x N o n E m p t y " > < C u s t o m C o n t e n t > < ! [ C D A T A [ 1 ] ] > < / 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20.xml>��< ? x m l   v e r s i o n = " 1 . 0 "   e n c o d i n g = " U T F - 1 6 " ? > < G e m i n i   x m l n s = " h t t p : / / g e m i n i / p i v o t c u s t o m i z a t i o n / I s S a n d b o x E m b e d d e d " > < C u s t o m C o n t e n t > < ! [ C D A T A [ y e s ] ] > < / 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C l i e n t W i n d o w X M L " > < C u s t o m C o n t e n t > < ! [ C D A T A [ T a b l a 4 4 - 0 0 3 3 c 9 b 4 - f b c 5 - 4 2 a 9 - 8 f 4 e - 9 2 b 0 2 f a b 1 6 b 5 ] ] > < / 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9A2FFA1-8A53-4480-8F71-57C7875DFE23}">
  <ds:schemaRefs/>
</ds:datastoreItem>
</file>

<file path=customXml/itemProps10.xml><?xml version="1.0" encoding="utf-8"?>
<ds:datastoreItem xmlns:ds="http://schemas.openxmlformats.org/officeDocument/2006/customXml" ds:itemID="{01826096-6DAC-4512-946B-92569085B7AC}">
  <ds:schemaRefs/>
</ds:datastoreItem>
</file>

<file path=customXml/itemProps11.xml><?xml version="1.0" encoding="utf-8"?>
<ds:datastoreItem xmlns:ds="http://schemas.openxmlformats.org/officeDocument/2006/customXml" ds:itemID="{FA6A0B5C-5758-43AB-A084-60139027D6CB}">
  <ds:schemaRefs/>
</ds:datastoreItem>
</file>

<file path=customXml/itemProps12.xml><?xml version="1.0" encoding="utf-8"?>
<ds:datastoreItem xmlns:ds="http://schemas.openxmlformats.org/officeDocument/2006/customXml" ds:itemID="{BF961A73-91DE-46DF-A08D-6F6FEAED216D}">
  <ds:schemaRefs/>
</ds:datastoreItem>
</file>

<file path=customXml/itemProps13.xml><?xml version="1.0" encoding="utf-8"?>
<ds:datastoreItem xmlns:ds="http://schemas.openxmlformats.org/officeDocument/2006/customXml" ds:itemID="{AE82DAE6-89F1-4EC4-8445-2E73E9F21F79}">
  <ds:schemaRefs/>
</ds:datastoreItem>
</file>

<file path=customXml/itemProps14.xml><?xml version="1.0" encoding="utf-8"?>
<ds:datastoreItem xmlns:ds="http://schemas.openxmlformats.org/officeDocument/2006/customXml" ds:itemID="{4B388139-D34D-4941-981B-5D321C889B8A}">
  <ds:schemaRefs/>
</ds:datastoreItem>
</file>

<file path=customXml/itemProps15.xml><?xml version="1.0" encoding="utf-8"?>
<ds:datastoreItem xmlns:ds="http://schemas.openxmlformats.org/officeDocument/2006/customXml" ds:itemID="{6929AB22-ABA9-4E58-B36E-10C21206BF69}">
  <ds:schemaRefs>
    <ds:schemaRef ds:uri="http://schemas.microsoft.com/DataMashup"/>
  </ds:schemaRefs>
</ds:datastoreItem>
</file>

<file path=customXml/itemProps16.xml><?xml version="1.0" encoding="utf-8"?>
<ds:datastoreItem xmlns:ds="http://schemas.openxmlformats.org/officeDocument/2006/customXml" ds:itemID="{F6D7CB4A-0242-4934-8079-EA0FFD4F9AEC}">
  <ds:schemaRefs/>
</ds:datastoreItem>
</file>

<file path=customXml/itemProps17.xml><?xml version="1.0" encoding="utf-8"?>
<ds:datastoreItem xmlns:ds="http://schemas.openxmlformats.org/officeDocument/2006/customXml" ds:itemID="{A6C4CC20-07D0-4FAB-90BA-AA3AF71D0C83}">
  <ds:schemaRefs/>
</ds:datastoreItem>
</file>

<file path=customXml/itemProps18.xml><?xml version="1.0" encoding="utf-8"?>
<ds:datastoreItem xmlns:ds="http://schemas.openxmlformats.org/officeDocument/2006/customXml" ds:itemID="{28249FC2-C963-4A7F-B9FA-C5FD6B63336D}">
  <ds:schemaRefs/>
</ds:datastoreItem>
</file>

<file path=customXml/itemProps19.xml><?xml version="1.0" encoding="utf-8"?>
<ds:datastoreItem xmlns:ds="http://schemas.openxmlformats.org/officeDocument/2006/customXml" ds:itemID="{565FAF2F-CDF8-4D9B-9DB1-723A5202FCD9}">
  <ds:schemaRefs/>
</ds:datastoreItem>
</file>

<file path=customXml/itemProps2.xml><?xml version="1.0" encoding="utf-8"?>
<ds:datastoreItem xmlns:ds="http://schemas.openxmlformats.org/officeDocument/2006/customXml" ds:itemID="{47806E59-B666-4E4F-A9EF-515835BDA5CC}">
  <ds:schemaRefs/>
</ds:datastoreItem>
</file>

<file path=customXml/itemProps20.xml><?xml version="1.0" encoding="utf-8"?>
<ds:datastoreItem xmlns:ds="http://schemas.openxmlformats.org/officeDocument/2006/customXml" ds:itemID="{897101B1-B533-42A6-9CF8-E0A2774842EC}">
  <ds:schemaRefs/>
</ds:datastoreItem>
</file>

<file path=customXml/itemProps3.xml><?xml version="1.0" encoding="utf-8"?>
<ds:datastoreItem xmlns:ds="http://schemas.openxmlformats.org/officeDocument/2006/customXml" ds:itemID="{218715B1-4521-4E8A-BF8B-0FBD9ED46596}">
  <ds:schemaRefs/>
</ds:datastoreItem>
</file>

<file path=customXml/itemProps4.xml><?xml version="1.0" encoding="utf-8"?>
<ds:datastoreItem xmlns:ds="http://schemas.openxmlformats.org/officeDocument/2006/customXml" ds:itemID="{AFCC17EF-CF5E-4D30-B67D-6235BF54EF22}">
  <ds:schemaRefs/>
</ds:datastoreItem>
</file>

<file path=customXml/itemProps5.xml><?xml version="1.0" encoding="utf-8"?>
<ds:datastoreItem xmlns:ds="http://schemas.openxmlformats.org/officeDocument/2006/customXml" ds:itemID="{4EF338B6-8AB7-45AA-8780-DD415674FA39}">
  <ds:schemaRefs/>
</ds:datastoreItem>
</file>

<file path=customXml/itemProps6.xml><?xml version="1.0" encoding="utf-8"?>
<ds:datastoreItem xmlns:ds="http://schemas.openxmlformats.org/officeDocument/2006/customXml" ds:itemID="{B1D91E2A-9BF8-4484-8D97-AF9F15BA4DCF}">
  <ds:schemaRefs/>
</ds:datastoreItem>
</file>

<file path=customXml/itemProps7.xml><?xml version="1.0" encoding="utf-8"?>
<ds:datastoreItem xmlns:ds="http://schemas.openxmlformats.org/officeDocument/2006/customXml" ds:itemID="{69873A09-A0B6-469D-A8AD-6D3DDFCE584C}">
  <ds:schemaRefs/>
</ds:datastoreItem>
</file>

<file path=customXml/itemProps8.xml><?xml version="1.0" encoding="utf-8"?>
<ds:datastoreItem xmlns:ds="http://schemas.openxmlformats.org/officeDocument/2006/customXml" ds:itemID="{DAFFD2B6-02E4-4138-B091-F8A8464F1E0C}">
  <ds:schemaRefs/>
</ds:datastoreItem>
</file>

<file path=customXml/itemProps9.xml><?xml version="1.0" encoding="utf-8"?>
<ds:datastoreItem xmlns:ds="http://schemas.openxmlformats.org/officeDocument/2006/customXml" ds:itemID="{B4C28FA2-4938-485F-9D52-B1FFCAD550E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2026-02-17T23:35:10Z</dcterms:modified>
</cp:coreProperties>
</file>