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91.HIS 2025\1.Niños\11.Nov\6.Reportes\"/>
    </mc:Choice>
  </mc:AlternateContent>
  <xr:revisionPtr revIDLastSave="0" documentId="13_ncr:1_{4423FBF8-96F9-4D6E-B66D-4BE41BC4AE45}" xr6:coauthVersionLast="47" xr6:coauthVersionMax="47" xr10:uidLastSave="{00000000-0000-0000-0000-000000000000}"/>
  <bookViews>
    <workbookView xWindow="1650" yWindow="690" windowWidth="12810" windowHeight="8730" tabRatio="767" firstSheet="14" activeTab="15" xr2:uid="{00000000-000D-0000-FFFF-FFFF00000000}"/>
  </bookViews>
  <sheets>
    <sheet name="INICIO" sheetId="29" r:id="rId1"/>
    <sheet name="EN 0-35m x DEP" sheetId="1" r:id="rId2"/>
    <sheet name="EN 0-35m x DIRESA" sheetId="21" r:id="rId3"/>
    <sheet name="EN 0-35m x DISTRITO" sheetId="22" r:id="rId4"/>
    <sheet name="EN 0-35m x DISTR ZONA" sheetId="30" r:id="rId5"/>
    <sheet name="EN 0-59m x DEP" sheetId="23" r:id="rId6"/>
    <sheet name="EN 0-59m x DIRESA" sheetId="24" r:id="rId7"/>
    <sheet name="EN 0-59m x DISTRITO" sheetId="25" r:id="rId8"/>
    <sheet name="EN 0-59m x DISTR ZONA" sheetId="31" r:id="rId9"/>
    <sheet name="Anemia 6-35m x DEP" sheetId="6" r:id="rId10"/>
    <sheet name="Anemia 6-35m x DIRESA" sheetId="18" r:id="rId11"/>
    <sheet name="Anemia 6-35m x DISTRITO" sheetId="8" r:id="rId12"/>
    <sheet name="Anemia 6-35m x DISTR ZONA" sheetId="32" r:id="rId13"/>
    <sheet name="Anemia 6-59m x DEP" sheetId="26" r:id="rId14"/>
    <sheet name="Anemia 6-59m x DIRESA" sheetId="27" r:id="rId15"/>
    <sheet name="Anemia 6-59m x DISTRITO" sheetId="28" r:id="rId16"/>
    <sheet name="Anemia 6-59m x DISTR ZONA" sheetId="33" r:id="rId17"/>
  </sheets>
  <definedNames>
    <definedName name="_xlnm._FilterDatabase" localSheetId="12" hidden="1">'Anemia 6-35m x DISTR ZONA'!$F$7:$O$100</definedName>
    <definedName name="_xlnm._FilterDatabase" localSheetId="11" hidden="1">'Anemia 6-35m x DISTRITO'!$E$7:$N$95</definedName>
    <definedName name="_xlnm._FilterDatabase" localSheetId="16" hidden="1">'Anemia 6-59m x DISTR ZONA'!$F$7:$O$100</definedName>
    <definedName name="_xlnm._FilterDatabase" localSheetId="15" hidden="1">'Anemia 6-59m x DISTRITO'!$E$7:$N$95</definedName>
    <definedName name="_xlnm._FilterDatabase" localSheetId="4" hidden="1">'EN 0-35m x DISTR ZONA'!$G$8:$Y$103</definedName>
    <definedName name="_xlnm._FilterDatabase" localSheetId="3" hidden="1">'EN 0-35m x DISTRITO'!$F$8:$X$98</definedName>
    <definedName name="_xlnm._FilterDatabase" localSheetId="8" hidden="1">'EN 0-59m x DISTR ZONA'!$G$8:$Y$103</definedName>
    <definedName name="_xlnm._FilterDatabase" localSheetId="7" hidden="1">'EN 0-59m x DISTRITO'!$F$8:$X$98</definedName>
    <definedName name="distrito035">'EN 0-35m x DISTRITO'!$E$8:$X$91</definedName>
    <definedName name="distrito059">'EN 0-59m x DISTRITO'!$E$8:$X$91</definedName>
    <definedName name="distrito635">'Anemia 6-35m x DISTRITO'!$E$7:$N$90</definedName>
    <definedName name="distrito659">'Anemia 6-59m x DISTRITO'!$E$7:$N$90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33" l="1"/>
  <c r="N94" i="33"/>
  <c r="M94" i="33"/>
  <c r="L94" i="33"/>
  <c r="K94" i="33"/>
  <c r="J94" i="33"/>
  <c r="I94" i="33"/>
  <c r="H94" i="33"/>
  <c r="G94" i="33"/>
  <c r="O93" i="33"/>
  <c r="N93" i="33"/>
  <c r="M93" i="33"/>
  <c r="L93" i="33"/>
  <c r="K93" i="33"/>
  <c r="J93" i="33"/>
  <c r="I93" i="33"/>
  <c r="H93" i="33"/>
  <c r="G93" i="33"/>
  <c r="O91" i="33"/>
  <c r="N91" i="33"/>
  <c r="M91" i="33"/>
  <c r="L91" i="33"/>
  <c r="K91" i="33"/>
  <c r="J91" i="33"/>
  <c r="I91" i="33"/>
  <c r="H91" i="33"/>
  <c r="G91" i="33"/>
  <c r="O90" i="33"/>
  <c r="N90" i="33"/>
  <c r="M90" i="33"/>
  <c r="L90" i="33"/>
  <c r="K90" i="33"/>
  <c r="J90" i="33"/>
  <c r="I90" i="33"/>
  <c r="H90" i="33"/>
  <c r="G90" i="33"/>
  <c r="O89" i="33"/>
  <c r="N89" i="33"/>
  <c r="M89" i="33"/>
  <c r="L89" i="33"/>
  <c r="K89" i="33"/>
  <c r="J89" i="33"/>
  <c r="I89" i="33"/>
  <c r="H89" i="33"/>
  <c r="G89" i="33"/>
  <c r="O88" i="33"/>
  <c r="N88" i="33"/>
  <c r="M88" i="33"/>
  <c r="L88" i="33"/>
  <c r="K88" i="33"/>
  <c r="J88" i="33"/>
  <c r="I88" i="33"/>
  <c r="H88" i="33"/>
  <c r="G88" i="33"/>
  <c r="O87" i="33"/>
  <c r="N87" i="33"/>
  <c r="M87" i="33"/>
  <c r="L87" i="33"/>
  <c r="K87" i="33"/>
  <c r="J87" i="33"/>
  <c r="I87" i="33"/>
  <c r="H87" i="33"/>
  <c r="G87" i="33"/>
  <c r="O86" i="33"/>
  <c r="N86" i="33"/>
  <c r="M86" i="33"/>
  <c r="L86" i="33"/>
  <c r="K86" i="33"/>
  <c r="J86" i="33"/>
  <c r="I86" i="33"/>
  <c r="H86" i="33"/>
  <c r="G86" i="33"/>
  <c r="O85" i="33"/>
  <c r="N85" i="33"/>
  <c r="M85" i="33"/>
  <c r="L85" i="33"/>
  <c r="K85" i="33"/>
  <c r="J85" i="33"/>
  <c r="I85" i="33"/>
  <c r="H85" i="33"/>
  <c r="G85" i="33"/>
  <c r="O84" i="33"/>
  <c r="N84" i="33"/>
  <c r="M84" i="33"/>
  <c r="L84" i="33"/>
  <c r="K84" i="33"/>
  <c r="J84" i="33"/>
  <c r="I84" i="33"/>
  <c r="H84" i="33"/>
  <c r="G84" i="33"/>
  <c r="O83" i="33"/>
  <c r="N83" i="33"/>
  <c r="M83" i="33"/>
  <c r="L83" i="33"/>
  <c r="K83" i="33"/>
  <c r="J83" i="33"/>
  <c r="I83" i="33"/>
  <c r="H83" i="33"/>
  <c r="G83" i="33"/>
  <c r="O82" i="33"/>
  <c r="N82" i="33"/>
  <c r="M82" i="33"/>
  <c r="L82" i="33"/>
  <c r="K82" i="33"/>
  <c r="J82" i="33"/>
  <c r="I82" i="33"/>
  <c r="H82" i="33"/>
  <c r="G82" i="33"/>
  <c r="O81" i="33"/>
  <c r="N81" i="33"/>
  <c r="M81" i="33"/>
  <c r="L81" i="33"/>
  <c r="K81" i="33"/>
  <c r="J81" i="33"/>
  <c r="I81" i="33"/>
  <c r="H81" i="33"/>
  <c r="G81" i="33"/>
  <c r="O80" i="33"/>
  <c r="N80" i="33"/>
  <c r="M80" i="33"/>
  <c r="L80" i="33"/>
  <c r="K80" i="33"/>
  <c r="J80" i="33"/>
  <c r="I80" i="33"/>
  <c r="H80" i="33"/>
  <c r="G80" i="33"/>
  <c r="O79" i="33"/>
  <c r="N79" i="33"/>
  <c r="M79" i="33"/>
  <c r="L79" i="33"/>
  <c r="K79" i="33"/>
  <c r="J79" i="33"/>
  <c r="I79" i="33"/>
  <c r="H79" i="33"/>
  <c r="G79" i="33"/>
  <c r="O78" i="33"/>
  <c r="N78" i="33"/>
  <c r="M78" i="33"/>
  <c r="L78" i="33"/>
  <c r="K78" i="33"/>
  <c r="J78" i="33"/>
  <c r="I78" i="33"/>
  <c r="H78" i="33"/>
  <c r="G78" i="33"/>
  <c r="O77" i="33"/>
  <c r="N77" i="33"/>
  <c r="M77" i="33"/>
  <c r="L77" i="33"/>
  <c r="K77" i="33"/>
  <c r="J77" i="33"/>
  <c r="I77" i="33"/>
  <c r="H77" i="33"/>
  <c r="G77" i="33"/>
  <c r="O75" i="33"/>
  <c r="N75" i="33"/>
  <c r="M75" i="33"/>
  <c r="L75" i="33"/>
  <c r="K75" i="33"/>
  <c r="J75" i="33"/>
  <c r="I75" i="33"/>
  <c r="H75" i="33"/>
  <c r="G75" i="33"/>
  <c r="O74" i="33"/>
  <c r="N74" i="33"/>
  <c r="M74" i="33"/>
  <c r="L74" i="33"/>
  <c r="K74" i="33"/>
  <c r="J74" i="33"/>
  <c r="I74" i="33"/>
  <c r="H74" i="33"/>
  <c r="G74" i="33"/>
  <c r="O73" i="33"/>
  <c r="N73" i="33"/>
  <c r="M73" i="33"/>
  <c r="L73" i="33"/>
  <c r="K73" i="33"/>
  <c r="J73" i="33"/>
  <c r="I73" i="33"/>
  <c r="H73" i="33"/>
  <c r="G73" i="33"/>
  <c r="O72" i="33"/>
  <c r="N72" i="33"/>
  <c r="M72" i="33"/>
  <c r="L72" i="33"/>
  <c r="K72" i="33"/>
  <c r="J72" i="33"/>
  <c r="I72" i="33"/>
  <c r="H72" i="33"/>
  <c r="G72" i="33"/>
  <c r="O71" i="33"/>
  <c r="N71" i="33"/>
  <c r="M71" i="33"/>
  <c r="L71" i="33"/>
  <c r="K71" i="33"/>
  <c r="J71" i="33"/>
  <c r="I71" i="33"/>
  <c r="H71" i="33"/>
  <c r="G71" i="33"/>
  <c r="O70" i="33"/>
  <c r="N70" i="33"/>
  <c r="M70" i="33"/>
  <c r="L70" i="33"/>
  <c r="K70" i="33"/>
  <c r="J70" i="33"/>
  <c r="I70" i="33"/>
  <c r="H70" i="33"/>
  <c r="G70" i="33"/>
  <c r="O69" i="33"/>
  <c r="N69" i="33"/>
  <c r="M69" i="33"/>
  <c r="L69" i="33"/>
  <c r="K69" i="33"/>
  <c r="J69" i="33"/>
  <c r="I69" i="33"/>
  <c r="H69" i="33"/>
  <c r="G69" i="33"/>
  <c r="O68" i="33"/>
  <c r="N68" i="33"/>
  <c r="M68" i="33"/>
  <c r="L68" i="33"/>
  <c r="K68" i="33"/>
  <c r="J68" i="33"/>
  <c r="I68" i="33"/>
  <c r="H68" i="33"/>
  <c r="G68" i="33"/>
  <c r="O67" i="33"/>
  <c r="N67" i="33"/>
  <c r="M67" i="33"/>
  <c r="L67" i="33"/>
  <c r="K67" i="33"/>
  <c r="J67" i="33"/>
  <c r="I67" i="33"/>
  <c r="H67" i="33"/>
  <c r="G67" i="33"/>
  <c r="O66" i="33"/>
  <c r="N66" i="33"/>
  <c r="M66" i="33"/>
  <c r="L66" i="33"/>
  <c r="K66" i="33"/>
  <c r="J66" i="33"/>
  <c r="I66" i="33"/>
  <c r="H66" i="33"/>
  <c r="G66" i="33"/>
  <c r="O65" i="33"/>
  <c r="N65" i="33"/>
  <c r="M65" i="33"/>
  <c r="L65" i="33"/>
  <c r="K65" i="33"/>
  <c r="J65" i="33"/>
  <c r="I65" i="33"/>
  <c r="H65" i="33"/>
  <c r="G65" i="33"/>
  <c r="O64" i="33"/>
  <c r="N64" i="33"/>
  <c r="M64" i="33"/>
  <c r="L64" i="33"/>
  <c r="K64" i="33"/>
  <c r="J64" i="33"/>
  <c r="I64" i="33"/>
  <c r="H64" i="33"/>
  <c r="G64" i="33"/>
  <c r="O63" i="33"/>
  <c r="N63" i="33"/>
  <c r="M63" i="33"/>
  <c r="L63" i="33"/>
  <c r="K63" i="33"/>
  <c r="J63" i="33"/>
  <c r="I63" i="33"/>
  <c r="H63" i="33"/>
  <c r="G63" i="33"/>
  <c r="O62" i="33"/>
  <c r="N62" i="33"/>
  <c r="M62" i="33"/>
  <c r="L62" i="33"/>
  <c r="K62" i="33"/>
  <c r="J62" i="33"/>
  <c r="I62" i="33"/>
  <c r="H62" i="33"/>
  <c r="G62" i="33"/>
  <c r="O61" i="33"/>
  <c r="N61" i="33"/>
  <c r="M61" i="33"/>
  <c r="L61" i="33"/>
  <c r="K61" i="33"/>
  <c r="J61" i="33"/>
  <c r="I61" i="33"/>
  <c r="H61" i="33"/>
  <c r="G61" i="33"/>
  <c r="O60" i="33"/>
  <c r="N60" i="33"/>
  <c r="M60" i="33"/>
  <c r="L60" i="33"/>
  <c r="K60" i="33"/>
  <c r="J60" i="33"/>
  <c r="I60" i="33"/>
  <c r="H60" i="33"/>
  <c r="G60" i="33"/>
  <c r="O59" i="33"/>
  <c r="N59" i="33"/>
  <c r="M59" i="33"/>
  <c r="L59" i="33"/>
  <c r="K59" i="33"/>
  <c r="J59" i="33"/>
  <c r="I59" i="33"/>
  <c r="H59" i="33"/>
  <c r="G59" i="33"/>
  <c r="O58" i="33"/>
  <c r="N58" i="33"/>
  <c r="M58" i="33"/>
  <c r="L58" i="33"/>
  <c r="K58" i="33"/>
  <c r="J58" i="33"/>
  <c r="I58" i="33"/>
  <c r="H58" i="33"/>
  <c r="G58" i="33"/>
  <c r="O57" i="33"/>
  <c r="N57" i="33"/>
  <c r="M57" i="33"/>
  <c r="L57" i="33"/>
  <c r="K57" i="33"/>
  <c r="J57" i="33"/>
  <c r="I57" i="33"/>
  <c r="H57" i="33"/>
  <c r="G57" i="33"/>
  <c r="O56" i="33"/>
  <c r="N56" i="33"/>
  <c r="M56" i="33"/>
  <c r="L56" i="33"/>
  <c r="K56" i="33"/>
  <c r="J56" i="33"/>
  <c r="I56" i="33"/>
  <c r="H56" i="33"/>
  <c r="G56" i="33"/>
  <c r="O55" i="33"/>
  <c r="N55" i="33"/>
  <c r="M55" i="33"/>
  <c r="L55" i="33"/>
  <c r="K55" i="33"/>
  <c r="J55" i="33"/>
  <c r="I55" i="33"/>
  <c r="H55" i="33"/>
  <c r="G55" i="33"/>
  <c r="O53" i="33"/>
  <c r="N53" i="33"/>
  <c r="M53" i="33"/>
  <c r="L53" i="33"/>
  <c r="K53" i="33"/>
  <c r="J53" i="33"/>
  <c r="I53" i="33"/>
  <c r="H53" i="33"/>
  <c r="G53" i="33"/>
  <c r="O52" i="33"/>
  <c r="N52" i="33"/>
  <c r="M52" i="33"/>
  <c r="L52" i="33"/>
  <c r="K52" i="33"/>
  <c r="J52" i="33"/>
  <c r="I52" i="33"/>
  <c r="H52" i="33"/>
  <c r="G52" i="33"/>
  <c r="O51" i="33"/>
  <c r="N51" i="33"/>
  <c r="M51" i="33"/>
  <c r="L51" i="33"/>
  <c r="K51" i="33"/>
  <c r="J51" i="33"/>
  <c r="I51" i="33"/>
  <c r="H51" i="33"/>
  <c r="G51" i="33"/>
  <c r="O50" i="33"/>
  <c r="N50" i="33"/>
  <c r="M50" i="33"/>
  <c r="L50" i="33"/>
  <c r="K50" i="33"/>
  <c r="J50" i="33"/>
  <c r="I50" i="33"/>
  <c r="H50" i="33"/>
  <c r="G50" i="33"/>
  <c r="O49" i="33"/>
  <c r="N49" i="33"/>
  <c r="M49" i="33"/>
  <c r="L49" i="33"/>
  <c r="K49" i="33"/>
  <c r="J49" i="33"/>
  <c r="I49" i="33"/>
  <c r="H49" i="33"/>
  <c r="G49" i="33"/>
  <c r="O47" i="33"/>
  <c r="N47" i="33"/>
  <c r="M47" i="33"/>
  <c r="L47" i="33"/>
  <c r="K47" i="33"/>
  <c r="J47" i="33"/>
  <c r="I47" i="33"/>
  <c r="H47" i="33"/>
  <c r="G47" i="33"/>
  <c r="O46" i="33"/>
  <c r="N46" i="33"/>
  <c r="M46" i="33"/>
  <c r="L46" i="33"/>
  <c r="K46" i="33"/>
  <c r="J46" i="33"/>
  <c r="I46" i="33"/>
  <c r="H46" i="33"/>
  <c r="G46" i="33"/>
  <c r="O45" i="33"/>
  <c r="N45" i="33"/>
  <c r="M45" i="33"/>
  <c r="L45" i="33"/>
  <c r="K45" i="33"/>
  <c r="J45" i="33"/>
  <c r="I45" i="33"/>
  <c r="H45" i="33"/>
  <c r="G45" i="33"/>
  <c r="O44" i="33"/>
  <c r="N44" i="33"/>
  <c r="M44" i="33"/>
  <c r="L44" i="33"/>
  <c r="K44" i="33"/>
  <c r="J44" i="33"/>
  <c r="I44" i="33"/>
  <c r="H44" i="33"/>
  <c r="G44" i="33"/>
  <c r="O43" i="33"/>
  <c r="N43" i="33"/>
  <c r="M43" i="33"/>
  <c r="L43" i="33"/>
  <c r="K43" i="33"/>
  <c r="J43" i="33"/>
  <c r="I43" i="33"/>
  <c r="H43" i="33"/>
  <c r="G43" i="33"/>
  <c r="O42" i="33"/>
  <c r="N42" i="33"/>
  <c r="M42" i="33"/>
  <c r="L42" i="33"/>
  <c r="K42" i="33"/>
  <c r="J42" i="33"/>
  <c r="I42" i="33"/>
  <c r="H42" i="33"/>
  <c r="G42" i="33"/>
  <c r="O41" i="33"/>
  <c r="N41" i="33"/>
  <c r="M41" i="33"/>
  <c r="L41" i="33"/>
  <c r="K41" i="33"/>
  <c r="J41" i="33"/>
  <c r="I41" i="33"/>
  <c r="H41" i="33"/>
  <c r="G41" i="33"/>
  <c r="O40" i="33"/>
  <c r="N40" i="33"/>
  <c r="M40" i="33"/>
  <c r="L40" i="33"/>
  <c r="K40" i="33"/>
  <c r="J40" i="33"/>
  <c r="I40" i="33"/>
  <c r="H40" i="33"/>
  <c r="G40" i="33"/>
  <c r="O39" i="33"/>
  <c r="N39" i="33"/>
  <c r="M39" i="33"/>
  <c r="L39" i="33"/>
  <c r="K39" i="33"/>
  <c r="J39" i="33"/>
  <c r="I39" i="33"/>
  <c r="H39" i="33"/>
  <c r="G39" i="33"/>
  <c r="O38" i="33"/>
  <c r="N38" i="33"/>
  <c r="M38" i="33"/>
  <c r="L38" i="33"/>
  <c r="K38" i="33"/>
  <c r="J38" i="33"/>
  <c r="I38" i="33"/>
  <c r="H38" i="33"/>
  <c r="G38" i="33"/>
  <c r="O37" i="33"/>
  <c r="N37" i="33"/>
  <c r="M37" i="33"/>
  <c r="L37" i="33"/>
  <c r="K37" i="33"/>
  <c r="J37" i="33"/>
  <c r="I37" i="33"/>
  <c r="H37" i="33"/>
  <c r="G37" i="33"/>
  <c r="O36" i="33"/>
  <c r="N36" i="33"/>
  <c r="M36" i="33"/>
  <c r="L36" i="33"/>
  <c r="K36" i="33"/>
  <c r="J36" i="33"/>
  <c r="I36" i="33"/>
  <c r="H36" i="33"/>
  <c r="G36" i="33"/>
  <c r="O35" i="33"/>
  <c r="N35" i="33"/>
  <c r="M35" i="33"/>
  <c r="L35" i="33"/>
  <c r="K35" i="33"/>
  <c r="J35" i="33"/>
  <c r="I35" i="33"/>
  <c r="H35" i="33"/>
  <c r="G35" i="33"/>
  <c r="O34" i="33"/>
  <c r="N34" i="33"/>
  <c r="M34" i="33"/>
  <c r="L34" i="33"/>
  <c r="K34" i="33"/>
  <c r="J34" i="33"/>
  <c r="I34" i="33"/>
  <c r="H34" i="33"/>
  <c r="G34" i="33"/>
  <c r="O33" i="33"/>
  <c r="N33" i="33"/>
  <c r="M33" i="33"/>
  <c r="L33" i="33"/>
  <c r="K33" i="33"/>
  <c r="J33" i="33"/>
  <c r="I33" i="33"/>
  <c r="H33" i="33"/>
  <c r="G33" i="33"/>
  <c r="O32" i="33"/>
  <c r="N32" i="33"/>
  <c r="M32" i="33"/>
  <c r="L32" i="33"/>
  <c r="K32" i="33"/>
  <c r="J32" i="33"/>
  <c r="I32" i="33"/>
  <c r="H32" i="33"/>
  <c r="G32" i="33"/>
  <c r="O31" i="33"/>
  <c r="N31" i="33"/>
  <c r="M31" i="33"/>
  <c r="L31" i="33"/>
  <c r="K31" i="33"/>
  <c r="J31" i="33"/>
  <c r="I31" i="33"/>
  <c r="H31" i="33"/>
  <c r="G31" i="33"/>
  <c r="O30" i="33"/>
  <c r="N30" i="33"/>
  <c r="M30" i="33"/>
  <c r="L30" i="33"/>
  <c r="K30" i="33"/>
  <c r="J30" i="33"/>
  <c r="I30" i="33"/>
  <c r="H30" i="33"/>
  <c r="G30" i="33"/>
  <c r="O29" i="33"/>
  <c r="N29" i="33"/>
  <c r="M29" i="33"/>
  <c r="L29" i="33"/>
  <c r="K29" i="33"/>
  <c r="J29" i="33"/>
  <c r="I29" i="33"/>
  <c r="H29" i="33"/>
  <c r="G29" i="33"/>
  <c r="O28" i="33"/>
  <c r="N28" i="33"/>
  <c r="M28" i="33"/>
  <c r="L28" i="33"/>
  <c r="K28" i="33"/>
  <c r="J28" i="33"/>
  <c r="I28" i="33"/>
  <c r="H28" i="33"/>
  <c r="G28" i="33"/>
  <c r="O27" i="33"/>
  <c r="N27" i="33"/>
  <c r="M27" i="33"/>
  <c r="L27" i="33"/>
  <c r="K27" i="33"/>
  <c r="J27" i="33"/>
  <c r="I27" i="33"/>
  <c r="H27" i="33"/>
  <c r="G27" i="33"/>
  <c r="O26" i="33"/>
  <c r="N26" i="33"/>
  <c r="M26" i="33"/>
  <c r="L26" i="33"/>
  <c r="K26" i="33"/>
  <c r="J26" i="33"/>
  <c r="I26" i="33"/>
  <c r="H26" i="33"/>
  <c r="G26" i="33"/>
  <c r="O25" i="33"/>
  <c r="N25" i="33"/>
  <c r="M25" i="33"/>
  <c r="L25" i="33"/>
  <c r="K25" i="33"/>
  <c r="J25" i="33"/>
  <c r="I25" i="33"/>
  <c r="H25" i="33"/>
  <c r="G25" i="33"/>
  <c r="O24" i="33"/>
  <c r="N24" i="33"/>
  <c r="M24" i="33"/>
  <c r="L24" i="33"/>
  <c r="K24" i="33"/>
  <c r="J24" i="33"/>
  <c r="I24" i="33"/>
  <c r="H24" i="33"/>
  <c r="G24" i="33"/>
  <c r="O23" i="33"/>
  <c r="N23" i="33"/>
  <c r="M23" i="33"/>
  <c r="L23" i="33"/>
  <c r="K23" i="33"/>
  <c r="J23" i="33"/>
  <c r="I23" i="33"/>
  <c r="H23" i="33"/>
  <c r="G23" i="33"/>
  <c r="O22" i="33"/>
  <c r="N22" i="33"/>
  <c r="M22" i="33"/>
  <c r="L22" i="33"/>
  <c r="K22" i="33"/>
  <c r="J22" i="33"/>
  <c r="I22" i="33"/>
  <c r="H22" i="33"/>
  <c r="G22" i="33"/>
  <c r="O21" i="33"/>
  <c r="N21" i="33"/>
  <c r="M21" i="33"/>
  <c r="L21" i="33"/>
  <c r="K21" i="33"/>
  <c r="J21" i="33"/>
  <c r="I21" i="33"/>
  <c r="H21" i="33"/>
  <c r="G21" i="33"/>
  <c r="O20" i="33"/>
  <c r="N20" i="33"/>
  <c r="M20" i="33"/>
  <c r="L20" i="33"/>
  <c r="K20" i="33"/>
  <c r="J20" i="33"/>
  <c r="I20" i="33"/>
  <c r="H20" i="33"/>
  <c r="G20" i="33"/>
  <c r="O19" i="33"/>
  <c r="N19" i="33"/>
  <c r="M19" i="33"/>
  <c r="L19" i="33"/>
  <c r="K19" i="33"/>
  <c r="J19" i="33"/>
  <c r="I19" i="33"/>
  <c r="H19" i="33"/>
  <c r="G19" i="33"/>
  <c r="O18" i="33"/>
  <c r="N18" i="33"/>
  <c r="M18" i="33"/>
  <c r="L18" i="33"/>
  <c r="K18" i="33"/>
  <c r="J18" i="33"/>
  <c r="I18" i="33"/>
  <c r="H18" i="33"/>
  <c r="G18" i="33"/>
  <c r="O17" i="33"/>
  <c r="N17" i="33"/>
  <c r="M17" i="33"/>
  <c r="L17" i="33"/>
  <c r="K17" i="33"/>
  <c r="J17" i="33"/>
  <c r="I17" i="33"/>
  <c r="H17" i="33"/>
  <c r="G17" i="33"/>
  <c r="O16" i="33"/>
  <c r="N16" i="33"/>
  <c r="M16" i="33"/>
  <c r="L16" i="33"/>
  <c r="K16" i="33"/>
  <c r="J16" i="33"/>
  <c r="I16" i="33"/>
  <c r="H16" i="33"/>
  <c r="G16" i="33"/>
  <c r="O15" i="33"/>
  <c r="N15" i="33"/>
  <c r="M15" i="33"/>
  <c r="L15" i="33"/>
  <c r="K15" i="33"/>
  <c r="J15" i="33"/>
  <c r="I15" i="33"/>
  <c r="H15" i="33"/>
  <c r="G15" i="33"/>
  <c r="O14" i="33"/>
  <c r="N14" i="33"/>
  <c r="M14" i="33"/>
  <c r="L14" i="33"/>
  <c r="K14" i="33"/>
  <c r="J14" i="33"/>
  <c r="I14" i="33"/>
  <c r="H14" i="33"/>
  <c r="G14" i="33"/>
  <c r="O13" i="33"/>
  <c r="N13" i="33"/>
  <c r="M13" i="33"/>
  <c r="L13" i="33"/>
  <c r="K13" i="33"/>
  <c r="J13" i="33"/>
  <c r="I13" i="33"/>
  <c r="H13" i="33"/>
  <c r="G13" i="33"/>
  <c r="O12" i="33"/>
  <c r="N12" i="33"/>
  <c r="M12" i="33"/>
  <c r="L12" i="33"/>
  <c r="K12" i="33"/>
  <c r="J12" i="33"/>
  <c r="I12" i="33"/>
  <c r="H12" i="33"/>
  <c r="G12" i="33"/>
  <c r="O11" i="33"/>
  <c r="N11" i="33"/>
  <c r="M11" i="33"/>
  <c r="L11" i="33"/>
  <c r="K11" i="33"/>
  <c r="J11" i="33"/>
  <c r="I11" i="33"/>
  <c r="H11" i="33"/>
  <c r="G11" i="33"/>
  <c r="O10" i="33"/>
  <c r="N10" i="33"/>
  <c r="M10" i="33"/>
  <c r="L10" i="33"/>
  <c r="K10" i="33"/>
  <c r="J10" i="33"/>
  <c r="I10" i="33"/>
  <c r="H10" i="33"/>
  <c r="G10" i="33"/>
  <c r="O9" i="33"/>
  <c r="N9" i="33"/>
  <c r="M9" i="33"/>
  <c r="L9" i="33"/>
  <c r="K9" i="33"/>
  <c r="J9" i="33"/>
  <c r="I9" i="33"/>
  <c r="H9" i="33"/>
  <c r="G9" i="33"/>
  <c r="O8" i="33"/>
  <c r="N8" i="33"/>
  <c r="M8" i="33"/>
  <c r="L8" i="33"/>
  <c r="K8" i="33"/>
  <c r="J8" i="33"/>
  <c r="I8" i="33"/>
  <c r="H8" i="33"/>
  <c r="G8" i="33"/>
  <c r="O7" i="33"/>
  <c r="N7" i="33"/>
  <c r="M7" i="33"/>
  <c r="L7" i="33"/>
  <c r="K7" i="33"/>
  <c r="J7" i="33"/>
  <c r="I7" i="33"/>
  <c r="H7" i="33"/>
  <c r="G7" i="33"/>
  <c r="D95" i="33"/>
  <c r="L95" i="33"/>
  <c r="J95" i="33"/>
  <c r="H95" i="33"/>
  <c r="D92" i="33"/>
  <c r="D76" i="33"/>
  <c r="D54" i="33"/>
  <c r="D48" i="33"/>
  <c r="G7" i="32"/>
  <c r="O94" i="32"/>
  <c r="N94" i="32"/>
  <c r="M94" i="32"/>
  <c r="L94" i="32"/>
  <c r="K94" i="32"/>
  <c r="J94" i="32"/>
  <c r="I94" i="32"/>
  <c r="H94" i="32"/>
  <c r="G94" i="32"/>
  <c r="O93" i="32"/>
  <c r="N93" i="32"/>
  <c r="M93" i="32"/>
  <c r="L93" i="32"/>
  <c r="L95" i="32" s="1"/>
  <c r="K93" i="32"/>
  <c r="J93" i="32"/>
  <c r="I93" i="32"/>
  <c r="H93" i="32"/>
  <c r="G93" i="32"/>
  <c r="O91" i="32"/>
  <c r="N91" i="32"/>
  <c r="M91" i="32"/>
  <c r="L91" i="32"/>
  <c r="K91" i="32"/>
  <c r="J91" i="32"/>
  <c r="I91" i="32"/>
  <c r="H91" i="32"/>
  <c r="G91" i="32"/>
  <c r="O90" i="32"/>
  <c r="N90" i="32"/>
  <c r="M90" i="32"/>
  <c r="L90" i="32"/>
  <c r="K90" i="32"/>
  <c r="J90" i="32"/>
  <c r="I90" i="32"/>
  <c r="H90" i="32"/>
  <c r="G90" i="32"/>
  <c r="O89" i="32"/>
  <c r="N89" i="32"/>
  <c r="M89" i="32"/>
  <c r="L89" i="32"/>
  <c r="K89" i="32"/>
  <c r="J89" i="32"/>
  <c r="I89" i="32"/>
  <c r="H89" i="32"/>
  <c r="G89" i="32"/>
  <c r="O88" i="32"/>
  <c r="N88" i="32"/>
  <c r="M88" i="32"/>
  <c r="L88" i="32"/>
  <c r="K88" i="32"/>
  <c r="J88" i="32"/>
  <c r="I88" i="32"/>
  <c r="H88" i="32"/>
  <c r="G88" i="32"/>
  <c r="O87" i="32"/>
  <c r="N87" i="32"/>
  <c r="M87" i="32"/>
  <c r="L87" i="32"/>
  <c r="K87" i="32"/>
  <c r="J87" i="32"/>
  <c r="I87" i="32"/>
  <c r="H87" i="32"/>
  <c r="G87" i="32"/>
  <c r="O86" i="32"/>
  <c r="N86" i="32"/>
  <c r="M86" i="32"/>
  <c r="L86" i="32"/>
  <c r="K86" i="32"/>
  <c r="J86" i="32"/>
  <c r="I86" i="32"/>
  <c r="H86" i="32"/>
  <c r="G86" i="32"/>
  <c r="O85" i="32"/>
  <c r="N85" i="32"/>
  <c r="M85" i="32"/>
  <c r="L85" i="32"/>
  <c r="K85" i="32"/>
  <c r="J85" i="32"/>
  <c r="I85" i="32"/>
  <c r="H85" i="32"/>
  <c r="G85" i="32"/>
  <c r="O84" i="32"/>
  <c r="N84" i="32"/>
  <c r="M84" i="32"/>
  <c r="L84" i="32"/>
  <c r="K84" i="32"/>
  <c r="J84" i="32"/>
  <c r="I84" i="32"/>
  <c r="H84" i="32"/>
  <c r="G84" i="32"/>
  <c r="O83" i="32"/>
  <c r="N83" i="32"/>
  <c r="M83" i="32"/>
  <c r="L83" i="32"/>
  <c r="K83" i="32"/>
  <c r="J83" i="32"/>
  <c r="I83" i="32"/>
  <c r="H83" i="32"/>
  <c r="G83" i="32"/>
  <c r="O82" i="32"/>
  <c r="N82" i="32"/>
  <c r="M82" i="32"/>
  <c r="L82" i="32"/>
  <c r="K82" i="32"/>
  <c r="J82" i="32"/>
  <c r="I82" i="32"/>
  <c r="H82" i="32"/>
  <c r="G82" i="32"/>
  <c r="O81" i="32"/>
  <c r="N81" i="32"/>
  <c r="M81" i="32"/>
  <c r="L81" i="32"/>
  <c r="K81" i="32"/>
  <c r="J81" i="32"/>
  <c r="I81" i="32"/>
  <c r="H81" i="32"/>
  <c r="G81" i="32"/>
  <c r="O80" i="32"/>
  <c r="N80" i="32"/>
  <c r="M80" i="32"/>
  <c r="L80" i="32"/>
  <c r="K80" i="32"/>
  <c r="J80" i="32"/>
  <c r="I80" i="32"/>
  <c r="H80" i="32"/>
  <c r="G80" i="32"/>
  <c r="O79" i="32"/>
  <c r="N79" i="32"/>
  <c r="M79" i="32"/>
  <c r="L79" i="32"/>
  <c r="K79" i="32"/>
  <c r="J79" i="32"/>
  <c r="I79" i="32"/>
  <c r="H79" i="32"/>
  <c r="G79" i="32"/>
  <c r="O78" i="32"/>
  <c r="N78" i="32"/>
  <c r="M78" i="32"/>
  <c r="L78" i="32"/>
  <c r="K78" i="32"/>
  <c r="J78" i="32"/>
  <c r="I78" i="32"/>
  <c r="H78" i="32"/>
  <c r="G78" i="32"/>
  <c r="O77" i="32"/>
  <c r="N77" i="32"/>
  <c r="M77" i="32"/>
  <c r="L77" i="32"/>
  <c r="K77" i="32"/>
  <c r="J77" i="32"/>
  <c r="I77" i="32"/>
  <c r="H77" i="32"/>
  <c r="G77" i="32"/>
  <c r="O75" i="32"/>
  <c r="N75" i="32"/>
  <c r="M75" i="32"/>
  <c r="L75" i="32"/>
  <c r="K75" i="32"/>
  <c r="J75" i="32"/>
  <c r="I75" i="32"/>
  <c r="H75" i="32"/>
  <c r="G75" i="32"/>
  <c r="O74" i="32"/>
  <c r="N74" i="32"/>
  <c r="M74" i="32"/>
  <c r="L74" i="32"/>
  <c r="K74" i="32"/>
  <c r="J74" i="32"/>
  <c r="I74" i="32"/>
  <c r="H74" i="32"/>
  <c r="G74" i="32"/>
  <c r="O73" i="32"/>
  <c r="N73" i="32"/>
  <c r="M73" i="32"/>
  <c r="L73" i="32"/>
  <c r="K73" i="32"/>
  <c r="J73" i="32"/>
  <c r="I73" i="32"/>
  <c r="H73" i="32"/>
  <c r="G73" i="32"/>
  <c r="O72" i="32"/>
  <c r="N72" i="32"/>
  <c r="M72" i="32"/>
  <c r="L72" i="32"/>
  <c r="K72" i="32"/>
  <c r="J72" i="32"/>
  <c r="I72" i="32"/>
  <c r="H72" i="32"/>
  <c r="G72" i="32"/>
  <c r="O71" i="32"/>
  <c r="N71" i="32"/>
  <c r="M71" i="32"/>
  <c r="L71" i="32"/>
  <c r="K71" i="32"/>
  <c r="J71" i="32"/>
  <c r="I71" i="32"/>
  <c r="H71" i="32"/>
  <c r="G71" i="32"/>
  <c r="O70" i="32"/>
  <c r="N70" i="32"/>
  <c r="M70" i="32"/>
  <c r="L70" i="32"/>
  <c r="K70" i="32"/>
  <c r="J70" i="32"/>
  <c r="I70" i="32"/>
  <c r="H70" i="32"/>
  <c r="G70" i="32"/>
  <c r="O69" i="32"/>
  <c r="N69" i="32"/>
  <c r="M69" i="32"/>
  <c r="L69" i="32"/>
  <c r="K69" i="32"/>
  <c r="J69" i="32"/>
  <c r="I69" i="32"/>
  <c r="H69" i="32"/>
  <c r="G69" i="32"/>
  <c r="O68" i="32"/>
  <c r="N68" i="32"/>
  <c r="M68" i="32"/>
  <c r="L68" i="32"/>
  <c r="K68" i="32"/>
  <c r="J68" i="32"/>
  <c r="I68" i="32"/>
  <c r="H68" i="32"/>
  <c r="G68" i="32"/>
  <c r="O67" i="32"/>
  <c r="N67" i="32"/>
  <c r="M67" i="32"/>
  <c r="L67" i="32"/>
  <c r="K67" i="32"/>
  <c r="J67" i="32"/>
  <c r="I67" i="32"/>
  <c r="H67" i="32"/>
  <c r="G67" i="32"/>
  <c r="O66" i="32"/>
  <c r="N66" i="32"/>
  <c r="M66" i="32"/>
  <c r="L66" i="32"/>
  <c r="K66" i="32"/>
  <c r="J66" i="32"/>
  <c r="I66" i="32"/>
  <c r="H66" i="32"/>
  <c r="G66" i="32"/>
  <c r="O65" i="32"/>
  <c r="N65" i="32"/>
  <c r="M65" i="32"/>
  <c r="L65" i="32"/>
  <c r="K65" i="32"/>
  <c r="J65" i="32"/>
  <c r="I65" i="32"/>
  <c r="H65" i="32"/>
  <c r="G65" i="32"/>
  <c r="O64" i="32"/>
  <c r="N64" i="32"/>
  <c r="M64" i="32"/>
  <c r="L64" i="32"/>
  <c r="K64" i="32"/>
  <c r="J64" i="32"/>
  <c r="I64" i="32"/>
  <c r="H64" i="32"/>
  <c r="G64" i="32"/>
  <c r="O63" i="32"/>
  <c r="N63" i="32"/>
  <c r="M63" i="32"/>
  <c r="L63" i="32"/>
  <c r="K63" i="32"/>
  <c r="J63" i="32"/>
  <c r="I63" i="32"/>
  <c r="H63" i="32"/>
  <c r="G63" i="32"/>
  <c r="O62" i="32"/>
  <c r="N62" i="32"/>
  <c r="M62" i="32"/>
  <c r="L62" i="32"/>
  <c r="K62" i="32"/>
  <c r="J62" i="32"/>
  <c r="I62" i="32"/>
  <c r="H62" i="32"/>
  <c r="G62" i="32"/>
  <c r="O61" i="32"/>
  <c r="N61" i="32"/>
  <c r="M61" i="32"/>
  <c r="L61" i="32"/>
  <c r="K61" i="32"/>
  <c r="J61" i="32"/>
  <c r="I61" i="32"/>
  <c r="H61" i="32"/>
  <c r="G61" i="32"/>
  <c r="O60" i="32"/>
  <c r="N60" i="32"/>
  <c r="M60" i="32"/>
  <c r="L60" i="32"/>
  <c r="K60" i="32"/>
  <c r="J60" i="32"/>
  <c r="I60" i="32"/>
  <c r="H60" i="32"/>
  <c r="G60" i="32"/>
  <c r="O59" i="32"/>
  <c r="N59" i="32"/>
  <c r="M59" i="32"/>
  <c r="L59" i="32"/>
  <c r="K59" i="32"/>
  <c r="J59" i="32"/>
  <c r="I59" i="32"/>
  <c r="H59" i="32"/>
  <c r="G59" i="32"/>
  <c r="O58" i="32"/>
  <c r="N58" i="32"/>
  <c r="M58" i="32"/>
  <c r="L58" i="32"/>
  <c r="K58" i="32"/>
  <c r="J58" i="32"/>
  <c r="I58" i="32"/>
  <c r="H58" i="32"/>
  <c r="G58" i="32"/>
  <c r="O57" i="32"/>
  <c r="N57" i="32"/>
  <c r="M57" i="32"/>
  <c r="L57" i="32"/>
  <c r="K57" i="32"/>
  <c r="J57" i="32"/>
  <c r="I57" i="32"/>
  <c r="H57" i="32"/>
  <c r="G57" i="32"/>
  <c r="O56" i="32"/>
  <c r="N56" i="32"/>
  <c r="M56" i="32"/>
  <c r="L56" i="32"/>
  <c r="K56" i="32"/>
  <c r="J56" i="32"/>
  <c r="I56" i="32"/>
  <c r="H56" i="32"/>
  <c r="G56" i="32"/>
  <c r="O55" i="32"/>
  <c r="N55" i="32"/>
  <c r="M55" i="32"/>
  <c r="L55" i="32"/>
  <c r="K55" i="32"/>
  <c r="J55" i="32"/>
  <c r="I55" i="32"/>
  <c r="H55" i="32"/>
  <c r="G55" i="32"/>
  <c r="O53" i="32"/>
  <c r="N53" i="32"/>
  <c r="M53" i="32"/>
  <c r="L53" i="32"/>
  <c r="K53" i="32"/>
  <c r="J53" i="32"/>
  <c r="I53" i="32"/>
  <c r="H53" i="32"/>
  <c r="G53" i="32"/>
  <c r="O52" i="32"/>
  <c r="N52" i="32"/>
  <c r="M52" i="32"/>
  <c r="L52" i="32"/>
  <c r="K52" i="32"/>
  <c r="J52" i="32"/>
  <c r="I52" i="32"/>
  <c r="H52" i="32"/>
  <c r="G52" i="32"/>
  <c r="O51" i="32"/>
  <c r="N51" i="32"/>
  <c r="M51" i="32"/>
  <c r="L51" i="32"/>
  <c r="K51" i="32"/>
  <c r="J51" i="32"/>
  <c r="I51" i="32"/>
  <c r="H51" i="32"/>
  <c r="G51" i="32"/>
  <c r="O50" i="32"/>
  <c r="N50" i="32"/>
  <c r="M50" i="32"/>
  <c r="L50" i="32"/>
  <c r="K50" i="32"/>
  <c r="J50" i="32"/>
  <c r="I50" i="32"/>
  <c r="H50" i="32"/>
  <c r="G50" i="32"/>
  <c r="O49" i="32"/>
  <c r="N49" i="32"/>
  <c r="M49" i="32"/>
  <c r="L49" i="32"/>
  <c r="K49" i="32"/>
  <c r="J49" i="32"/>
  <c r="I49" i="32"/>
  <c r="H49" i="32"/>
  <c r="G49" i="32"/>
  <c r="O47" i="32"/>
  <c r="N47" i="32"/>
  <c r="M47" i="32"/>
  <c r="L47" i="32"/>
  <c r="K47" i="32"/>
  <c r="J47" i="32"/>
  <c r="I47" i="32"/>
  <c r="H47" i="32"/>
  <c r="G47" i="32"/>
  <c r="O46" i="32"/>
  <c r="N46" i="32"/>
  <c r="M46" i="32"/>
  <c r="L46" i="32"/>
  <c r="K46" i="32"/>
  <c r="J46" i="32"/>
  <c r="I46" i="32"/>
  <c r="H46" i="32"/>
  <c r="G46" i="32"/>
  <c r="O45" i="32"/>
  <c r="N45" i="32"/>
  <c r="M45" i="32"/>
  <c r="L45" i="32"/>
  <c r="K45" i="32"/>
  <c r="J45" i="32"/>
  <c r="I45" i="32"/>
  <c r="H45" i="32"/>
  <c r="G45" i="32"/>
  <c r="O44" i="32"/>
  <c r="N44" i="32"/>
  <c r="M44" i="32"/>
  <c r="L44" i="32"/>
  <c r="K44" i="32"/>
  <c r="J44" i="32"/>
  <c r="I44" i="32"/>
  <c r="H44" i="32"/>
  <c r="G44" i="32"/>
  <c r="O43" i="32"/>
  <c r="N43" i="32"/>
  <c r="M43" i="32"/>
  <c r="L43" i="32"/>
  <c r="K43" i="32"/>
  <c r="J43" i="32"/>
  <c r="I43" i="32"/>
  <c r="H43" i="32"/>
  <c r="G43" i="32"/>
  <c r="O42" i="32"/>
  <c r="N42" i="32"/>
  <c r="M42" i="32"/>
  <c r="L42" i="32"/>
  <c r="K42" i="32"/>
  <c r="J42" i="32"/>
  <c r="I42" i="32"/>
  <c r="H42" i="32"/>
  <c r="G42" i="32"/>
  <c r="O41" i="32"/>
  <c r="N41" i="32"/>
  <c r="M41" i="32"/>
  <c r="L41" i="32"/>
  <c r="K41" i="32"/>
  <c r="J41" i="32"/>
  <c r="I41" i="32"/>
  <c r="H41" i="32"/>
  <c r="G41" i="32"/>
  <c r="O40" i="32"/>
  <c r="N40" i="32"/>
  <c r="M40" i="32"/>
  <c r="L40" i="32"/>
  <c r="K40" i="32"/>
  <c r="J40" i="32"/>
  <c r="I40" i="32"/>
  <c r="H40" i="32"/>
  <c r="G40" i="32"/>
  <c r="O39" i="32"/>
  <c r="N39" i="32"/>
  <c r="M39" i="32"/>
  <c r="L39" i="32"/>
  <c r="K39" i="32"/>
  <c r="J39" i="32"/>
  <c r="I39" i="32"/>
  <c r="H39" i="32"/>
  <c r="G39" i="32"/>
  <c r="O38" i="32"/>
  <c r="N38" i="32"/>
  <c r="M38" i="32"/>
  <c r="L38" i="32"/>
  <c r="K38" i="32"/>
  <c r="J38" i="32"/>
  <c r="I38" i="32"/>
  <c r="H38" i="32"/>
  <c r="G38" i="32"/>
  <c r="O37" i="32"/>
  <c r="N37" i="32"/>
  <c r="M37" i="32"/>
  <c r="L37" i="32"/>
  <c r="K37" i="32"/>
  <c r="J37" i="32"/>
  <c r="I37" i="32"/>
  <c r="H37" i="32"/>
  <c r="G37" i="32"/>
  <c r="O36" i="32"/>
  <c r="N36" i="32"/>
  <c r="M36" i="32"/>
  <c r="L36" i="32"/>
  <c r="K36" i="32"/>
  <c r="J36" i="32"/>
  <c r="I36" i="32"/>
  <c r="H36" i="32"/>
  <c r="G36" i="32"/>
  <c r="O35" i="32"/>
  <c r="N35" i="32"/>
  <c r="M35" i="32"/>
  <c r="L35" i="32"/>
  <c r="K35" i="32"/>
  <c r="J35" i="32"/>
  <c r="I35" i="32"/>
  <c r="H35" i="32"/>
  <c r="G35" i="32"/>
  <c r="O34" i="32"/>
  <c r="N34" i="32"/>
  <c r="M34" i="32"/>
  <c r="L34" i="32"/>
  <c r="K34" i="32"/>
  <c r="J34" i="32"/>
  <c r="I34" i="32"/>
  <c r="H34" i="32"/>
  <c r="G34" i="32"/>
  <c r="O33" i="32"/>
  <c r="N33" i="32"/>
  <c r="M33" i="32"/>
  <c r="L33" i="32"/>
  <c r="K33" i="32"/>
  <c r="J33" i="32"/>
  <c r="I33" i="32"/>
  <c r="H33" i="32"/>
  <c r="G33" i="32"/>
  <c r="O32" i="32"/>
  <c r="N32" i="32"/>
  <c r="M32" i="32"/>
  <c r="L32" i="32"/>
  <c r="K32" i="32"/>
  <c r="J32" i="32"/>
  <c r="I32" i="32"/>
  <c r="H32" i="32"/>
  <c r="G32" i="32"/>
  <c r="O31" i="32"/>
  <c r="N31" i="32"/>
  <c r="M31" i="32"/>
  <c r="L31" i="32"/>
  <c r="K31" i="32"/>
  <c r="J31" i="32"/>
  <c r="I31" i="32"/>
  <c r="H31" i="32"/>
  <c r="G31" i="32"/>
  <c r="O30" i="32"/>
  <c r="N30" i="32"/>
  <c r="M30" i="32"/>
  <c r="L30" i="32"/>
  <c r="K30" i="32"/>
  <c r="J30" i="32"/>
  <c r="I30" i="32"/>
  <c r="H30" i="32"/>
  <c r="G30" i="32"/>
  <c r="O29" i="32"/>
  <c r="N29" i="32"/>
  <c r="M29" i="32"/>
  <c r="L29" i="32"/>
  <c r="K29" i="32"/>
  <c r="J29" i="32"/>
  <c r="I29" i="32"/>
  <c r="H29" i="32"/>
  <c r="G29" i="32"/>
  <c r="O28" i="32"/>
  <c r="N28" i="32"/>
  <c r="M28" i="32"/>
  <c r="L28" i="32"/>
  <c r="K28" i="32"/>
  <c r="J28" i="32"/>
  <c r="I28" i="32"/>
  <c r="H28" i="32"/>
  <c r="G28" i="32"/>
  <c r="O27" i="32"/>
  <c r="N27" i="32"/>
  <c r="M27" i="32"/>
  <c r="L27" i="32"/>
  <c r="K27" i="32"/>
  <c r="J27" i="32"/>
  <c r="I27" i="32"/>
  <c r="H27" i="32"/>
  <c r="G27" i="32"/>
  <c r="O26" i="32"/>
  <c r="N26" i="32"/>
  <c r="M26" i="32"/>
  <c r="L26" i="32"/>
  <c r="K26" i="32"/>
  <c r="J26" i="32"/>
  <c r="I26" i="32"/>
  <c r="H26" i="32"/>
  <c r="G26" i="32"/>
  <c r="O25" i="32"/>
  <c r="N25" i="32"/>
  <c r="M25" i="32"/>
  <c r="L25" i="32"/>
  <c r="K25" i="32"/>
  <c r="J25" i="32"/>
  <c r="I25" i="32"/>
  <c r="H25" i="32"/>
  <c r="G25" i="32"/>
  <c r="O24" i="32"/>
  <c r="N24" i="32"/>
  <c r="M24" i="32"/>
  <c r="L24" i="32"/>
  <c r="K24" i="32"/>
  <c r="J24" i="32"/>
  <c r="I24" i="32"/>
  <c r="H24" i="32"/>
  <c r="G24" i="32"/>
  <c r="O23" i="32"/>
  <c r="N23" i="32"/>
  <c r="M23" i="32"/>
  <c r="L23" i="32"/>
  <c r="K23" i="32"/>
  <c r="J23" i="32"/>
  <c r="I23" i="32"/>
  <c r="H23" i="32"/>
  <c r="G23" i="32"/>
  <c r="O22" i="32"/>
  <c r="N22" i="32"/>
  <c r="M22" i="32"/>
  <c r="L22" i="32"/>
  <c r="K22" i="32"/>
  <c r="J22" i="32"/>
  <c r="I22" i="32"/>
  <c r="H22" i="32"/>
  <c r="G22" i="32"/>
  <c r="O21" i="32"/>
  <c r="N21" i="32"/>
  <c r="M21" i="32"/>
  <c r="L21" i="32"/>
  <c r="K21" i="32"/>
  <c r="J21" i="32"/>
  <c r="I21" i="32"/>
  <c r="H21" i="32"/>
  <c r="G21" i="32"/>
  <c r="O20" i="32"/>
  <c r="N20" i="32"/>
  <c r="M20" i="32"/>
  <c r="L20" i="32"/>
  <c r="K20" i="32"/>
  <c r="J20" i="32"/>
  <c r="I20" i="32"/>
  <c r="H20" i="32"/>
  <c r="G20" i="32"/>
  <c r="O19" i="32"/>
  <c r="N19" i="32"/>
  <c r="M19" i="32"/>
  <c r="L19" i="32"/>
  <c r="K19" i="32"/>
  <c r="J19" i="32"/>
  <c r="I19" i="32"/>
  <c r="H19" i="32"/>
  <c r="G19" i="32"/>
  <c r="O18" i="32"/>
  <c r="N18" i="32"/>
  <c r="M18" i="32"/>
  <c r="L18" i="32"/>
  <c r="K18" i="32"/>
  <c r="J18" i="32"/>
  <c r="I18" i="32"/>
  <c r="H18" i="32"/>
  <c r="G18" i="32"/>
  <c r="O17" i="32"/>
  <c r="N17" i="32"/>
  <c r="M17" i="32"/>
  <c r="L17" i="32"/>
  <c r="K17" i="32"/>
  <c r="J17" i="32"/>
  <c r="I17" i="32"/>
  <c r="H17" i="32"/>
  <c r="G17" i="32"/>
  <c r="O16" i="32"/>
  <c r="N16" i="32"/>
  <c r="M16" i="32"/>
  <c r="L16" i="32"/>
  <c r="K16" i="32"/>
  <c r="J16" i="32"/>
  <c r="I16" i="32"/>
  <c r="H16" i="32"/>
  <c r="G16" i="32"/>
  <c r="O15" i="32"/>
  <c r="N15" i="32"/>
  <c r="M15" i="32"/>
  <c r="L15" i="32"/>
  <c r="K15" i="32"/>
  <c r="J15" i="32"/>
  <c r="I15" i="32"/>
  <c r="H15" i="32"/>
  <c r="G15" i="32"/>
  <c r="O14" i="32"/>
  <c r="N14" i="32"/>
  <c r="M14" i="32"/>
  <c r="L14" i="32"/>
  <c r="K14" i="32"/>
  <c r="J14" i="32"/>
  <c r="I14" i="32"/>
  <c r="H14" i="32"/>
  <c r="G14" i="32"/>
  <c r="O13" i="32"/>
  <c r="N13" i="32"/>
  <c r="M13" i="32"/>
  <c r="L13" i="32"/>
  <c r="K13" i="32"/>
  <c r="J13" i="32"/>
  <c r="I13" i="32"/>
  <c r="H13" i="32"/>
  <c r="G13" i="32"/>
  <c r="O12" i="32"/>
  <c r="N12" i="32"/>
  <c r="M12" i="32"/>
  <c r="L12" i="32"/>
  <c r="K12" i="32"/>
  <c r="J12" i="32"/>
  <c r="I12" i="32"/>
  <c r="H12" i="32"/>
  <c r="G12" i="32"/>
  <c r="O11" i="32"/>
  <c r="N11" i="32"/>
  <c r="M11" i="32"/>
  <c r="L11" i="32"/>
  <c r="K11" i="32"/>
  <c r="J11" i="32"/>
  <c r="I11" i="32"/>
  <c r="H11" i="32"/>
  <c r="G11" i="32"/>
  <c r="O10" i="32"/>
  <c r="N10" i="32"/>
  <c r="M10" i="32"/>
  <c r="L10" i="32"/>
  <c r="K10" i="32"/>
  <c r="J10" i="32"/>
  <c r="I10" i="32"/>
  <c r="H10" i="32"/>
  <c r="G10" i="32"/>
  <c r="O9" i="32"/>
  <c r="N9" i="32"/>
  <c r="M9" i="32"/>
  <c r="L9" i="32"/>
  <c r="K9" i="32"/>
  <c r="J9" i="32"/>
  <c r="I9" i="32"/>
  <c r="H9" i="32"/>
  <c r="G9" i="32"/>
  <c r="O8" i="32"/>
  <c r="N8" i="32"/>
  <c r="M8" i="32"/>
  <c r="L8" i="32"/>
  <c r="K8" i="32"/>
  <c r="J8" i="32"/>
  <c r="I8" i="32"/>
  <c r="H8" i="32"/>
  <c r="G8" i="32"/>
  <c r="O7" i="32"/>
  <c r="N7" i="32"/>
  <c r="M7" i="32"/>
  <c r="L7" i="32"/>
  <c r="K7" i="32"/>
  <c r="J7" i="32"/>
  <c r="I7" i="32"/>
  <c r="H7" i="32"/>
  <c r="D95" i="32"/>
  <c r="D92" i="32"/>
  <c r="D76" i="32"/>
  <c r="D54" i="32"/>
  <c r="D48" i="32"/>
  <c r="Y95" i="31"/>
  <c r="X95" i="31"/>
  <c r="W95" i="31"/>
  <c r="V95" i="31"/>
  <c r="U95" i="31"/>
  <c r="T95" i="31"/>
  <c r="S95" i="31"/>
  <c r="R95" i="31"/>
  <c r="Q95" i="31"/>
  <c r="P95" i="31"/>
  <c r="P96" i="31" s="1"/>
  <c r="O95" i="31"/>
  <c r="N95" i="31"/>
  <c r="M95" i="31"/>
  <c r="L95" i="31"/>
  <c r="K95" i="31"/>
  <c r="J95" i="31"/>
  <c r="I95" i="31"/>
  <c r="H95" i="31"/>
  <c r="G95" i="31"/>
  <c r="Y94" i="31"/>
  <c r="X94" i="31"/>
  <c r="W94" i="31"/>
  <c r="V94" i="31"/>
  <c r="U94" i="31"/>
  <c r="T94" i="31"/>
  <c r="S94" i="31"/>
  <c r="R94" i="31"/>
  <c r="Q94" i="31"/>
  <c r="P94" i="31"/>
  <c r="O94" i="31"/>
  <c r="N94" i="31"/>
  <c r="M94" i="31"/>
  <c r="L94" i="31"/>
  <c r="K94" i="31"/>
  <c r="J94" i="31"/>
  <c r="I94" i="31"/>
  <c r="H94" i="31"/>
  <c r="G94" i="31"/>
  <c r="G96" i="31" s="1"/>
  <c r="Y92" i="31"/>
  <c r="X92" i="31"/>
  <c r="W92" i="31"/>
  <c r="V92" i="31"/>
  <c r="U92" i="31"/>
  <c r="T92" i="31"/>
  <c r="S92" i="31"/>
  <c r="R92" i="31"/>
  <c r="Q92" i="31"/>
  <c r="P92" i="31"/>
  <c r="O92" i="31"/>
  <c r="N92" i="31"/>
  <c r="M92" i="31"/>
  <c r="L92" i="31"/>
  <c r="K92" i="31"/>
  <c r="J92" i="31"/>
  <c r="I92" i="31"/>
  <c r="H92" i="31"/>
  <c r="G92" i="31"/>
  <c r="Y91" i="31"/>
  <c r="X91" i="31"/>
  <c r="W91" i="31"/>
  <c r="V91" i="31"/>
  <c r="U91" i="31"/>
  <c r="T91" i="31"/>
  <c r="S91" i="31"/>
  <c r="R91" i="31"/>
  <c r="Q91" i="31"/>
  <c r="P91" i="31"/>
  <c r="O91" i="31"/>
  <c r="N91" i="31"/>
  <c r="M91" i="31"/>
  <c r="L91" i="31"/>
  <c r="K91" i="31"/>
  <c r="J91" i="31"/>
  <c r="I91" i="31"/>
  <c r="H91" i="31"/>
  <c r="G91" i="31"/>
  <c r="Y90" i="31"/>
  <c r="X90" i="31"/>
  <c r="W90" i="31"/>
  <c r="V90" i="31"/>
  <c r="U90" i="31"/>
  <c r="T90" i="31"/>
  <c r="S90" i="31"/>
  <c r="R90" i="31"/>
  <c r="Q90" i="31"/>
  <c r="P90" i="31"/>
  <c r="O90" i="31"/>
  <c r="N90" i="31"/>
  <c r="M90" i="31"/>
  <c r="L90" i="31"/>
  <c r="K90" i="31"/>
  <c r="J90" i="31"/>
  <c r="I90" i="31"/>
  <c r="H90" i="31"/>
  <c r="G90" i="31"/>
  <c r="Y89" i="31"/>
  <c r="X89" i="31"/>
  <c r="W89" i="31"/>
  <c r="V89" i="31"/>
  <c r="U89" i="31"/>
  <c r="T89" i="31"/>
  <c r="S89" i="31"/>
  <c r="R89" i="31"/>
  <c r="Q89" i="31"/>
  <c r="P89" i="31"/>
  <c r="O89" i="31"/>
  <c r="N89" i="31"/>
  <c r="M89" i="31"/>
  <c r="L89" i="31"/>
  <c r="K89" i="31"/>
  <c r="J89" i="31"/>
  <c r="I89" i="31"/>
  <c r="H89" i="31"/>
  <c r="G89" i="31"/>
  <c r="Y88" i="31"/>
  <c r="X88" i="31"/>
  <c r="W88" i="31"/>
  <c r="V88" i="31"/>
  <c r="U88" i="31"/>
  <c r="T88" i="31"/>
  <c r="S88" i="31"/>
  <c r="R88" i="31"/>
  <c r="Q88" i="31"/>
  <c r="P88" i="31"/>
  <c r="O88" i="31"/>
  <c r="N88" i="31"/>
  <c r="M88" i="31"/>
  <c r="L88" i="31"/>
  <c r="K88" i="31"/>
  <c r="J88" i="31"/>
  <c r="I88" i="31"/>
  <c r="H88" i="31"/>
  <c r="G88" i="31"/>
  <c r="Y87" i="31"/>
  <c r="X87" i="31"/>
  <c r="W87" i="31"/>
  <c r="V87" i="31"/>
  <c r="U87" i="31"/>
  <c r="T87" i="31"/>
  <c r="S87" i="31"/>
  <c r="R87" i="31"/>
  <c r="Q87" i="31"/>
  <c r="P87" i="31"/>
  <c r="O87" i="31"/>
  <c r="N87" i="31"/>
  <c r="M87" i="31"/>
  <c r="L87" i="31"/>
  <c r="K87" i="31"/>
  <c r="J87" i="31"/>
  <c r="I87" i="31"/>
  <c r="H87" i="31"/>
  <c r="G87" i="31"/>
  <c r="Y86" i="31"/>
  <c r="X86" i="31"/>
  <c r="W86" i="31"/>
  <c r="V86" i="31"/>
  <c r="U86" i="31"/>
  <c r="T86" i="31"/>
  <c r="S86" i="31"/>
  <c r="R86" i="31"/>
  <c r="Q86" i="31"/>
  <c r="P86" i="31"/>
  <c r="O86" i="31"/>
  <c r="N86" i="31"/>
  <c r="M86" i="31"/>
  <c r="L86" i="31"/>
  <c r="K86" i="31"/>
  <c r="J86" i="31"/>
  <c r="I86" i="31"/>
  <c r="H86" i="31"/>
  <c r="G86" i="31"/>
  <c r="Y85" i="31"/>
  <c r="X85" i="31"/>
  <c r="W85" i="31"/>
  <c r="V85" i="31"/>
  <c r="U85" i="31"/>
  <c r="T85" i="31"/>
  <c r="S85" i="31"/>
  <c r="R85" i="31"/>
  <c r="Q85" i="31"/>
  <c r="P85" i="31"/>
  <c r="O85" i="31"/>
  <c r="N85" i="31"/>
  <c r="M85" i="31"/>
  <c r="L85" i="31"/>
  <c r="K85" i="31"/>
  <c r="J85" i="31"/>
  <c r="I85" i="31"/>
  <c r="H85" i="31"/>
  <c r="G85" i="31"/>
  <c r="Y84" i="31"/>
  <c r="X84" i="31"/>
  <c r="W84" i="31"/>
  <c r="V84" i="31"/>
  <c r="U84" i="31"/>
  <c r="T84" i="31"/>
  <c r="S84" i="31"/>
  <c r="R84" i="31"/>
  <c r="Q84" i="31"/>
  <c r="P84" i="31"/>
  <c r="O84" i="31"/>
  <c r="N84" i="31"/>
  <c r="M84" i="31"/>
  <c r="L84" i="31"/>
  <c r="K84" i="31"/>
  <c r="J84" i="31"/>
  <c r="I84" i="31"/>
  <c r="H84" i="31"/>
  <c r="G84" i="31"/>
  <c r="Y83" i="31"/>
  <c r="X83" i="31"/>
  <c r="W83" i="31"/>
  <c r="V83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Y82" i="31"/>
  <c r="X82" i="31"/>
  <c r="W82" i="31"/>
  <c r="V82" i="31"/>
  <c r="U82" i="31"/>
  <c r="T82" i="31"/>
  <c r="S82" i="31"/>
  <c r="R82" i="31"/>
  <c r="Q82" i="31"/>
  <c r="P82" i="31"/>
  <c r="O82" i="31"/>
  <c r="N82" i="31"/>
  <c r="M82" i="31"/>
  <c r="L82" i="31"/>
  <c r="K82" i="31"/>
  <c r="J82" i="31"/>
  <c r="I82" i="31"/>
  <c r="H82" i="31"/>
  <c r="G82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K81" i="31"/>
  <c r="J81" i="31"/>
  <c r="I81" i="31"/>
  <c r="H81" i="31"/>
  <c r="G81" i="31"/>
  <c r="Y80" i="31"/>
  <c r="X80" i="31"/>
  <c r="W80" i="31"/>
  <c r="V80" i="31"/>
  <c r="U80" i="31"/>
  <c r="T80" i="31"/>
  <c r="S80" i="31"/>
  <c r="R80" i="31"/>
  <c r="Q80" i="31"/>
  <c r="P80" i="31"/>
  <c r="O80" i="31"/>
  <c r="N80" i="31"/>
  <c r="M80" i="31"/>
  <c r="L80" i="31"/>
  <c r="K80" i="31"/>
  <c r="J80" i="31"/>
  <c r="I80" i="31"/>
  <c r="H80" i="31"/>
  <c r="G80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H79" i="31"/>
  <c r="G79" i="31"/>
  <c r="Y78" i="31"/>
  <c r="X78" i="31"/>
  <c r="W78" i="31"/>
  <c r="V78" i="31"/>
  <c r="U78" i="31"/>
  <c r="T78" i="31"/>
  <c r="S78" i="31"/>
  <c r="R78" i="31"/>
  <c r="Q78" i="31"/>
  <c r="P78" i="31"/>
  <c r="O78" i="31"/>
  <c r="N78" i="31"/>
  <c r="M78" i="31"/>
  <c r="L78" i="31"/>
  <c r="K78" i="31"/>
  <c r="J78" i="31"/>
  <c r="I78" i="31"/>
  <c r="H78" i="31"/>
  <c r="G78" i="31"/>
  <c r="Y76" i="31"/>
  <c r="X76" i="31"/>
  <c r="W76" i="31"/>
  <c r="V76" i="31"/>
  <c r="U76" i="31"/>
  <c r="T76" i="31"/>
  <c r="S76" i="31"/>
  <c r="R76" i="31"/>
  <c r="Q76" i="31"/>
  <c r="P76" i="31"/>
  <c r="O76" i="31"/>
  <c r="N76" i="31"/>
  <c r="M76" i="31"/>
  <c r="L76" i="31"/>
  <c r="K76" i="31"/>
  <c r="J76" i="31"/>
  <c r="I76" i="31"/>
  <c r="H76" i="31"/>
  <c r="G76" i="31"/>
  <c r="Y75" i="31"/>
  <c r="X75" i="31"/>
  <c r="W75" i="31"/>
  <c r="V75" i="31"/>
  <c r="U75" i="31"/>
  <c r="T75" i="31"/>
  <c r="S75" i="31"/>
  <c r="R75" i="31"/>
  <c r="Q75" i="31"/>
  <c r="P75" i="31"/>
  <c r="O75" i="31"/>
  <c r="N75" i="31"/>
  <c r="M75" i="31"/>
  <c r="L75" i="31"/>
  <c r="K75" i="31"/>
  <c r="J75" i="31"/>
  <c r="I75" i="31"/>
  <c r="H75" i="31"/>
  <c r="G75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K74" i="31"/>
  <c r="J74" i="31"/>
  <c r="I74" i="31"/>
  <c r="H74" i="31"/>
  <c r="G74" i="31"/>
  <c r="Y73" i="31"/>
  <c r="X73" i="31"/>
  <c r="W73" i="31"/>
  <c r="V73" i="31"/>
  <c r="U73" i="31"/>
  <c r="T73" i="31"/>
  <c r="S73" i="31"/>
  <c r="R73" i="31"/>
  <c r="Q73" i="31"/>
  <c r="P73" i="31"/>
  <c r="O73" i="31"/>
  <c r="N73" i="31"/>
  <c r="M73" i="31"/>
  <c r="L73" i="31"/>
  <c r="K73" i="31"/>
  <c r="J73" i="31"/>
  <c r="I73" i="31"/>
  <c r="H73" i="31"/>
  <c r="G73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H72" i="31"/>
  <c r="G72" i="31"/>
  <c r="Y71" i="31"/>
  <c r="X71" i="31"/>
  <c r="W71" i="31"/>
  <c r="V71" i="31"/>
  <c r="U71" i="31"/>
  <c r="T71" i="31"/>
  <c r="S71" i="31"/>
  <c r="R71" i="31"/>
  <c r="Q71" i="31"/>
  <c r="P71" i="31"/>
  <c r="O71" i="31"/>
  <c r="N71" i="31"/>
  <c r="M71" i="31"/>
  <c r="L71" i="31"/>
  <c r="K71" i="31"/>
  <c r="J71" i="31"/>
  <c r="I71" i="31"/>
  <c r="H71" i="31"/>
  <c r="G71" i="31"/>
  <c r="Y70" i="31"/>
  <c r="X70" i="31"/>
  <c r="W70" i="31"/>
  <c r="V70" i="31"/>
  <c r="U70" i="31"/>
  <c r="T70" i="31"/>
  <c r="S70" i="31"/>
  <c r="R70" i="31"/>
  <c r="Q70" i="31"/>
  <c r="P70" i="31"/>
  <c r="O70" i="31"/>
  <c r="N70" i="31"/>
  <c r="M70" i="31"/>
  <c r="L70" i="31"/>
  <c r="K70" i="31"/>
  <c r="J70" i="31"/>
  <c r="I70" i="31"/>
  <c r="H70" i="31"/>
  <c r="G70" i="31"/>
  <c r="Y69" i="31"/>
  <c r="X69" i="31"/>
  <c r="W69" i="31"/>
  <c r="V69" i="31"/>
  <c r="U69" i="31"/>
  <c r="T69" i="31"/>
  <c r="S69" i="31"/>
  <c r="R69" i="31"/>
  <c r="Q69" i="31"/>
  <c r="P69" i="31"/>
  <c r="O69" i="31"/>
  <c r="N69" i="31"/>
  <c r="M69" i="31"/>
  <c r="L69" i="31"/>
  <c r="K69" i="31"/>
  <c r="J69" i="31"/>
  <c r="I69" i="31"/>
  <c r="H69" i="31"/>
  <c r="G69" i="31"/>
  <c r="Y68" i="31"/>
  <c r="X68" i="31"/>
  <c r="W68" i="31"/>
  <c r="V68" i="31"/>
  <c r="U68" i="31"/>
  <c r="T68" i="31"/>
  <c r="S68" i="31"/>
  <c r="R68" i="31"/>
  <c r="Q68" i="31"/>
  <c r="P68" i="31"/>
  <c r="O68" i="31"/>
  <c r="N68" i="31"/>
  <c r="M68" i="31"/>
  <c r="L68" i="31"/>
  <c r="K68" i="31"/>
  <c r="J68" i="31"/>
  <c r="I68" i="31"/>
  <c r="H68" i="31"/>
  <c r="G68" i="31"/>
  <c r="Y67" i="31"/>
  <c r="X67" i="31"/>
  <c r="W67" i="31"/>
  <c r="V67" i="31"/>
  <c r="U67" i="31"/>
  <c r="T67" i="31"/>
  <c r="S67" i="31"/>
  <c r="R67" i="31"/>
  <c r="Q67" i="31"/>
  <c r="P67" i="31"/>
  <c r="O67" i="31"/>
  <c r="N67" i="31"/>
  <c r="M67" i="31"/>
  <c r="L67" i="31"/>
  <c r="K67" i="31"/>
  <c r="J67" i="31"/>
  <c r="I67" i="31"/>
  <c r="H67" i="31"/>
  <c r="G67" i="31"/>
  <c r="Y66" i="31"/>
  <c r="X66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Y65" i="31"/>
  <c r="X65" i="31"/>
  <c r="W65" i="31"/>
  <c r="V65" i="31"/>
  <c r="U65" i="31"/>
  <c r="T65" i="31"/>
  <c r="S65" i="31"/>
  <c r="R65" i="31"/>
  <c r="Q65" i="31"/>
  <c r="P65" i="31"/>
  <c r="O65" i="31"/>
  <c r="N65" i="31"/>
  <c r="M65" i="31"/>
  <c r="L65" i="31"/>
  <c r="K65" i="31"/>
  <c r="J65" i="31"/>
  <c r="I65" i="31"/>
  <c r="H65" i="31"/>
  <c r="G65" i="31"/>
  <c r="Y64" i="31"/>
  <c r="X64" i="31"/>
  <c r="W64" i="31"/>
  <c r="V64" i="31"/>
  <c r="U64" i="31"/>
  <c r="T64" i="31"/>
  <c r="S64" i="31"/>
  <c r="R64" i="31"/>
  <c r="Q64" i="31"/>
  <c r="P64" i="31"/>
  <c r="O64" i="31"/>
  <c r="N64" i="31"/>
  <c r="M64" i="31"/>
  <c r="L64" i="31"/>
  <c r="K64" i="31"/>
  <c r="J64" i="31"/>
  <c r="I64" i="31"/>
  <c r="H64" i="31"/>
  <c r="G64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K63" i="31"/>
  <c r="J63" i="31"/>
  <c r="I63" i="31"/>
  <c r="H63" i="31"/>
  <c r="G63" i="31"/>
  <c r="Y62" i="31"/>
  <c r="X62" i="31"/>
  <c r="W62" i="31"/>
  <c r="V62" i="31"/>
  <c r="U62" i="31"/>
  <c r="T62" i="31"/>
  <c r="S62" i="31"/>
  <c r="R62" i="31"/>
  <c r="Q62" i="31"/>
  <c r="P62" i="31"/>
  <c r="O62" i="31"/>
  <c r="N62" i="31"/>
  <c r="M62" i="31"/>
  <c r="L62" i="31"/>
  <c r="K62" i="31"/>
  <c r="J62" i="31"/>
  <c r="I62" i="31"/>
  <c r="H62" i="31"/>
  <c r="G62" i="31"/>
  <c r="Y61" i="31"/>
  <c r="X61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Y60" i="31"/>
  <c r="X60" i="31"/>
  <c r="W60" i="31"/>
  <c r="V60" i="31"/>
  <c r="U60" i="31"/>
  <c r="T60" i="31"/>
  <c r="S60" i="31"/>
  <c r="R60" i="31"/>
  <c r="Q60" i="31"/>
  <c r="P60" i="31"/>
  <c r="O60" i="31"/>
  <c r="N60" i="31"/>
  <c r="M60" i="31"/>
  <c r="L60" i="31"/>
  <c r="K60" i="31"/>
  <c r="J60" i="31"/>
  <c r="I60" i="31"/>
  <c r="H60" i="31"/>
  <c r="G60" i="31"/>
  <c r="Y59" i="31"/>
  <c r="X59" i="31"/>
  <c r="W59" i="31"/>
  <c r="V59" i="31"/>
  <c r="U59" i="31"/>
  <c r="T59" i="31"/>
  <c r="S59" i="31"/>
  <c r="R59" i="31"/>
  <c r="Q59" i="31"/>
  <c r="P59" i="31"/>
  <c r="O59" i="31"/>
  <c r="N59" i="31"/>
  <c r="M59" i="31"/>
  <c r="L59" i="31"/>
  <c r="K59" i="31"/>
  <c r="J59" i="31"/>
  <c r="I59" i="31"/>
  <c r="H59" i="31"/>
  <c r="G59" i="31"/>
  <c r="Y58" i="31"/>
  <c r="X58" i="31"/>
  <c r="W58" i="31"/>
  <c r="V58" i="31"/>
  <c r="U58" i="31"/>
  <c r="T58" i="31"/>
  <c r="S58" i="31"/>
  <c r="R58" i="31"/>
  <c r="Q58" i="31"/>
  <c r="P58" i="31"/>
  <c r="O58" i="31"/>
  <c r="N58" i="31"/>
  <c r="M58" i="31"/>
  <c r="L58" i="31"/>
  <c r="K58" i="31"/>
  <c r="J58" i="31"/>
  <c r="I58" i="31"/>
  <c r="H58" i="31"/>
  <c r="G58" i="31"/>
  <c r="Y57" i="31"/>
  <c r="X57" i="31"/>
  <c r="W57" i="31"/>
  <c r="V57" i="31"/>
  <c r="U57" i="31"/>
  <c r="T57" i="31"/>
  <c r="S57" i="31"/>
  <c r="R57" i="31"/>
  <c r="Q57" i="31"/>
  <c r="P57" i="31"/>
  <c r="O57" i="31"/>
  <c r="N57" i="31"/>
  <c r="M57" i="31"/>
  <c r="L57" i="31"/>
  <c r="K57" i="31"/>
  <c r="J57" i="31"/>
  <c r="I57" i="31"/>
  <c r="H57" i="31"/>
  <c r="G57" i="31"/>
  <c r="Y56" i="31"/>
  <c r="X56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Y54" i="31"/>
  <c r="X54" i="31"/>
  <c r="W54" i="31"/>
  <c r="V54" i="31"/>
  <c r="U54" i="31"/>
  <c r="T54" i="31"/>
  <c r="S54" i="31"/>
  <c r="R54" i="31"/>
  <c r="Q54" i="31"/>
  <c r="P54" i="31"/>
  <c r="O54" i="31"/>
  <c r="N54" i="31"/>
  <c r="M54" i="31"/>
  <c r="L54" i="31"/>
  <c r="K54" i="31"/>
  <c r="J54" i="31"/>
  <c r="I54" i="31"/>
  <c r="H54" i="31"/>
  <c r="G54" i="31"/>
  <c r="Y53" i="31"/>
  <c r="X53" i="31"/>
  <c r="W53" i="31"/>
  <c r="V53" i="31"/>
  <c r="U53" i="31"/>
  <c r="T53" i="31"/>
  <c r="S53" i="31"/>
  <c r="R53" i="31"/>
  <c r="Q53" i="31"/>
  <c r="P53" i="31"/>
  <c r="O53" i="31"/>
  <c r="N53" i="31"/>
  <c r="M53" i="31"/>
  <c r="L53" i="31"/>
  <c r="K53" i="31"/>
  <c r="J53" i="31"/>
  <c r="I53" i="31"/>
  <c r="H53" i="31"/>
  <c r="G53" i="31"/>
  <c r="Y52" i="31"/>
  <c r="X52" i="31"/>
  <c r="W52" i="31"/>
  <c r="V52" i="31"/>
  <c r="U52" i="31"/>
  <c r="T52" i="31"/>
  <c r="S52" i="31"/>
  <c r="R52" i="31"/>
  <c r="Q52" i="31"/>
  <c r="P52" i="31"/>
  <c r="O52" i="31"/>
  <c r="N52" i="31"/>
  <c r="M52" i="31"/>
  <c r="L52" i="31"/>
  <c r="K52" i="31"/>
  <c r="J52" i="31"/>
  <c r="I52" i="31"/>
  <c r="H52" i="31"/>
  <c r="G52" i="31"/>
  <c r="Y51" i="31"/>
  <c r="X51" i="31"/>
  <c r="W51" i="31"/>
  <c r="V51" i="31"/>
  <c r="U51" i="31"/>
  <c r="T51" i="31"/>
  <c r="S51" i="31"/>
  <c r="R51" i="31"/>
  <c r="Q51" i="31"/>
  <c r="P51" i="31"/>
  <c r="O51" i="31"/>
  <c r="N51" i="31"/>
  <c r="M51" i="31"/>
  <c r="L51" i="31"/>
  <c r="K51" i="31"/>
  <c r="J51" i="31"/>
  <c r="I51" i="31"/>
  <c r="H51" i="31"/>
  <c r="G51" i="31"/>
  <c r="Y50" i="31"/>
  <c r="X50" i="31"/>
  <c r="W50" i="31"/>
  <c r="V50" i="31"/>
  <c r="U50" i="31"/>
  <c r="T50" i="31"/>
  <c r="S50" i="31"/>
  <c r="R50" i="31"/>
  <c r="Q50" i="31"/>
  <c r="P50" i="31"/>
  <c r="O50" i="31"/>
  <c r="N50" i="31"/>
  <c r="M50" i="31"/>
  <c r="L50" i="31"/>
  <c r="K50" i="31"/>
  <c r="J50" i="31"/>
  <c r="I50" i="31"/>
  <c r="H50" i="31"/>
  <c r="G50" i="31"/>
  <c r="Y48" i="31"/>
  <c r="X48" i="31"/>
  <c r="W48" i="31"/>
  <c r="V48" i="31"/>
  <c r="U48" i="31"/>
  <c r="T48" i="31"/>
  <c r="S48" i="31"/>
  <c r="R48" i="31"/>
  <c r="Q48" i="31"/>
  <c r="P48" i="31"/>
  <c r="O48" i="31"/>
  <c r="N48" i="31"/>
  <c r="M48" i="31"/>
  <c r="L48" i="31"/>
  <c r="K48" i="31"/>
  <c r="J48" i="31"/>
  <c r="I48" i="31"/>
  <c r="H48" i="31"/>
  <c r="G48" i="31"/>
  <c r="Y47" i="31"/>
  <c r="X47" i="31"/>
  <c r="W47" i="31"/>
  <c r="V47" i="31"/>
  <c r="U47" i="31"/>
  <c r="T47" i="31"/>
  <c r="S47" i="31"/>
  <c r="R47" i="31"/>
  <c r="Q47" i="31"/>
  <c r="P47" i="31"/>
  <c r="O47" i="31"/>
  <c r="N47" i="31"/>
  <c r="M47" i="31"/>
  <c r="L47" i="31"/>
  <c r="K47" i="31"/>
  <c r="J47" i="31"/>
  <c r="I47" i="31"/>
  <c r="H47" i="31"/>
  <c r="G47" i="31"/>
  <c r="Y46" i="31"/>
  <c r="X46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Y43" i="31"/>
  <c r="X43" i="31"/>
  <c r="W43" i="31"/>
  <c r="V43" i="31"/>
  <c r="U43" i="31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G42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I39" i="31"/>
  <c r="H39" i="31"/>
  <c r="G39" i="31"/>
  <c r="Y38" i="31"/>
  <c r="X38" i="31"/>
  <c r="W38" i="31"/>
  <c r="V38" i="31"/>
  <c r="U38" i="31"/>
  <c r="T38" i="31"/>
  <c r="S38" i="31"/>
  <c r="R38" i="31"/>
  <c r="Q38" i="31"/>
  <c r="P38" i="31"/>
  <c r="O38" i="31"/>
  <c r="N38" i="31"/>
  <c r="M38" i="31"/>
  <c r="L38" i="31"/>
  <c r="K38" i="31"/>
  <c r="J38" i="31"/>
  <c r="I38" i="31"/>
  <c r="H38" i="31"/>
  <c r="G38" i="31"/>
  <c r="Y37" i="31"/>
  <c r="X37" i="31"/>
  <c r="W37" i="31"/>
  <c r="V37" i="31"/>
  <c r="U37" i="31"/>
  <c r="T37" i="31"/>
  <c r="S37" i="31"/>
  <c r="R37" i="31"/>
  <c r="Q37" i="31"/>
  <c r="P37" i="31"/>
  <c r="O37" i="31"/>
  <c r="N37" i="31"/>
  <c r="M37" i="31"/>
  <c r="L37" i="31"/>
  <c r="K37" i="31"/>
  <c r="J37" i="31"/>
  <c r="I37" i="31"/>
  <c r="H37" i="31"/>
  <c r="G37" i="31"/>
  <c r="Y36" i="31"/>
  <c r="X36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K35" i="31"/>
  <c r="J35" i="31"/>
  <c r="I35" i="31"/>
  <c r="H35" i="31"/>
  <c r="G35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Y33" i="31"/>
  <c r="X33" i="31"/>
  <c r="W33" i="31"/>
  <c r="V33" i="31"/>
  <c r="U33" i="31"/>
  <c r="T33" i="31"/>
  <c r="S33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Y25" i="31"/>
  <c r="X25" i="31"/>
  <c r="W25" i="31"/>
  <c r="V25" i="31"/>
  <c r="U25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Y23" i="31"/>
  <c r="X23" i="31"/>
  <c r="W23" i="31"/>
  <c r="V23" i="31"/>
  <c r="U23" i="31"/>
  <c r="T23" i="31"/>
  <c r="S23" i="31"/>
  <c r="R23" i="31"/>
  <c r="Q23" i="31"/>
  <c r="P23" i="31"/>
  <c r="O23" i="31"/>
  <c r="N23" i="31"/>
  <c r="M23" i="31"/>
  <c r="L23" i="31"/>
  <c r="K23" i="31"/>
  <c r="J23" i="31"/>
  <c r="I23" i="31"/>
  <c r="H23" i="31"/>
  <c r="G23" i="31"/>
  <c r="Y22" i="31"/>
  <c r="X22" i="31"/>
  <c r="W22" i="31"/>
  <c r="V22" i="31"/>
  <c r="U22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Y21" i="31"/>
  <c r="X21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Y19" i="31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J19" i="31"/>
  <c r="I19" i="31"/>
  <c r="H19" i="31"/>
  <c r="G19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H14" i="31"/>
  <c r="G14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H12" i="31"/>
  <c r="G12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Y9" i="31"/>
  <c r="X9" i="31"/>
  <c r="W9" i="31"/>
  <c r="V9" i="31"/>
  <c r="U9" i="31"/>
  <c r="T9" i="31"/>
  <c r="S9" i="31"/>
  <c r="R9" i="31"/>
  <c r="Q9" i="31"/>
  <c r="P9" i="31"/>
  <c r="O9" i="31"/>
  <c r="N9" i="31"/>
  <c r="M9" i="31"/>
  <c r="L9" i="31"/>
  <c r="K9" i="31"/>
  <c r="J9" i="31"/>
  <c r="I9" i="31"/>
  <c r="H9" i="31"/>
  <c r="G9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D96" i="31"/>
  <c r="X96" i="31"/>
  <c r="H96" i="31"/>
  <c r="D93" i="31"/>
  <c r="D77" i="31"/>
  <c r="D55" i="31"/>
  <c r="D49" i="31"/>
  <c r="Y95" i="30"/>
  <c r="X95" i="30"/>
  <c r="W95" i="30"/>
  <c r="V95" i="30"/>
  <c r="U95" i="30"/>
  <c r="T95" i="30"/>
  <c r="S95" i="30"/>
  <c r="R95" i="30"/>
  <c r="Q95" i="30"/>
  <c r="P95" i="30"/>
  <c r="O95" i="30"/>
  <c r="N95" i="30"/>
  <c r="M95" i="30"/>
  <c r="L95" i="30"/>
  <c r="K95" i="30"/>
  <c r="J95" i="30"/>
  <c r="I95" i="30"/>
  <c r="H95" i="30"/>
  <c r="G95" i="30"/>
  <c r="Y94" i="30"/>
  <c r="X94" i="30"/>
  <c r="W94" i="30"/>
  <c r="V94" i="30"/>
  <c r="U94" i="30"/>
  <c r="T94" i="30"/>
  <c r="S94" i="30"/>
  <c r="R94" i="30"/>
  <c r="Q94" i="30"/>
  <c r="P94" i="30"/>
  <c r="O94" i="30"/>
  <c r="N94" i="30"/>
  <c r="M94" i="30"/>
  <c r="L94" i="30"/>
  <c r="K94" i="30"/>
  <c r="J94" i="30"/>
  <c r="I94" i="30"/>
  <c r="H94" i="30"/>
  <c r="G94" i="30"/>
  <c r="Y92" i="30"/>
  <c r="X92" i="30"/>
  <c r="W92" i="30"/>
  <c r="V92" i="30"/>
  <c r="U92" i="30"/>
  <c r="T92" i="30"/>
  <c r="S92" i="30"/>
  <c r="R92" i="30"/>
  <c r="Q92" i="30"/>
  <c r="P92" i="30"/>
  <c r="O92" i="30"/>
  <c r="N92" i="30"/>
  <c r="M92" i="30"/>
  <c r="L92" i="30"/>
  <c r="K92" i="30"/>
  <c r="J92" i="30"/>
  <c r="I92" i="30"/>
  <c r="H92" i="30"/>
  <c r="G92" i="30"/>
  <c r="Y91" i="30"/>
  <c r="X91" i="30"/>
  <c r="W91" i="30"/>
  <c r="V91" i="30"/>
  <c r="U91" i="30"/>
  <c r="T91" i="30"/>
  <c r="S91" i="30"/>
  <c r="R91" i="30"/>
  <c r="Q91" i="30"/>
  <c r="P91" i="30"/>
  <c r="O91" i="30"/>
  <c r="N91" i="30"/>
  <c r="M91" i="30"/>
  <c r="L91" i="30"/>
  <c r="K91" i="30"/>
  <c r="J91" i="30"/>
  <c r="I91" i="30"/>
  <c r="H91" i="30"/>
  <c r="G91" i="30"/>
  <c r="Y90" i="30"/>
  <c r="X90" i="30"/>
  <c r="W90" i="30"/>
  <c r="V90" i="30"/>
  <c r="U90" i="30"/>
  <c r="T90" i="30"/>
  <c r="S90" i="30"/>
  <c r="R90" i="30"/>
  <c r="Q90" i="30"/>
  <c r="P90" i="30"/>
  <c r="O90" i="30"/>
  <c r="N90" i="30"/>
  <c r="M90" i="30"/>
  <c r="L90" i="30"/>
  <c r="K90" i="30"/>
  <c r="J90" i="30"/>
  <c r="I90" i="30"/>
  <c r="H90" i="30"/>
  <c r="G90" i="30"/>
  <c r="Y89" i="30"/>
  <c r="X89" i="30"/>
  <c r="W89" i="30"/>
  <c r="V89" i="30"/>
  <c r="U89" i="30"/>
  <c r="T89" i="30"/>
  <c r="S89" i="30"/>
  <c r="R89" i="30"/>
  <c r="Q89" i="30"/>
  <c r="P89" i="30"/>
  <c r="O89" i="30"/>
  <c r="N89" i="30"/>
  <c r="M89" i="30"/>
  <c r="L89" i="30"/>
  <c r="K89" i="30"/>
  <c r="J89" i="30"/>
  <c r="I89" i="30"/>
  <c r="H89" i="30"/>
  <c r="G89" i="30"/>
  <c r="Y88" i="30"/>
  <c r="X88" i="30"/>
  <c r="W88" i="30"/>
  <c r="V88" i="30"/>
  <c r="U88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H88" i="30"/>
  <c r="G88" i="30"/>
  <c r="Y87" i="30"/>
  <c r="X87" i="30"/>
  <c r="W87" i="30"/>
  <c r="V87" i="30"/>
  <c r="U87" i="30"/>
  <c r="T87" i="30"/>
  <c r="S87" i="30"/>
  <c r="R87" i="30"/>
  <c r="Q87" i="30"/>
  <c r="P87" i="30"/>
  <c r="O87" i="30"/>
  <c r="N87" i="30"/>
  <c r="M87" i="30"/>
  <c r="L87" i="30"/>
  <c r="K87" i="30"/>
  <c r="J87" i="30"/>
  <c r="I87" i="30"/>
  <c r="H87" i="30"/>
  <c r="G87" i="30"/>
  <c r="Y86" i="30"/>
  <c r="X86" i="30"/>
  <c r="W86" i="30"/>
  <c r="V86" i="30"/>
  <c r="U86" i="30"/>
  <c r="T86" i="30"/>
  <c r="S86" i="30"/>
  <c r="R86" i="30"/>
  <c r="Q86" i="30"/>
  <c r="P86" i="30"/>
  <c r="O86" i="30"/>
  <c r="N86" i="30"/>
  <c r="M86" i="30"/>
  <c r="L86" i="30"/>
  <c r="K86" i="30"/>
  <c r="J86" i="30"/>
  <c r="I86" i="30"/>
  <c r="H86" i="30"/>
  <c r="G86" i="30"/>
  <c r="Y85" i="30"/>
  <c r="X85" i="30"/>
  <c r="W85" i="30"/>
  <c r="V85" i="30"/>
  <c r="U85" i="30"/>
  <c r="T85" i="30"/>
  <c r="S85" i="30"/>
  <c r="R85" i="30"/>
  <c r="Q85" i="30"/>
  <c r="P85" i="30"/>
  <c r="O85" i="30"/>
  <c r="N85" i="30"/>
  <c r="M85" i="30"/>
  <c r="L85" i="30"/>
  <c r="K85" i="30"/>
  <c r="J85" i="30"/>
  <c r="I85" i="30"/>
  <c r="H85" i="30"/>
  <c r="G85" i="30"/>
  <c r="Y84" i="30"/>
  <c r="X84" i="30"/>
  <c r="W84" i="30"/>
  <c r="V84" i="30"/>
  <c r="U84" i="30"/>
  <c r="T84" i="30"/>
  <c r="S84" i="30"/>
  <c r="R84" i="30"/>
  <c r="Q84" i="30"/>
  <c r="P84" i="30"/>
  <c r="O84" i="30"/>
  <c r="N84" i="30"/>
  <c r="M84" i="30"/>
  <c r="L84" i="30"/>
  <c r="K84" i="30"/>
  <c r="J84" i="30"/>
  <c r="I84" i="30"/>
  <c r="H84" i="30"/>
  <c r="G84" i="30"/>
  <c r="Y83" i="30"/>
  <c r="X83" i="30"/>
  <c r="W83" i="30"/>
  <c r="V83" i="30"/>
  <c r="U83" i="30"/>
  <c r="T83" i="30"/>
  <c r="S83" i="30"/>
  <c r="R83" i="30"/>
  <c r="Q83" i="30"/>
  <c r="P83" i="30"/>
  <c r="O83" i="30"/>
  <c r="N83" i="30"/>
  <c r="M83" i="30"/>
  <c r="L83" i="30"/>
  <c r="K83" i="30"/>
  <c r="J83" i="30"/>
  <c r="I83" i="30"/>
  <c r="H83" i="30"/>
  <c r="G83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Y81" i="30"/>
  <c r="X81" i="30"/>
  <c r="W81" i="30"/>
  <c r="V81" i="30"/>
  <c r="U81" i="30"/>
  <c r="T81" i="30"/>
  <c r="S81" i="30"/>
  <c r="R81" i="30"/>
  <c r="Q81" i="30"/>
  <c r="P81" i="30"/>
  <c r="O81" i="30"/>
  <c r="N81" i="30"/>
  <c r="M81" i="30"/>
  <c r="L81" i="30"/>
  <c r="K81" i="30"/>
  <c r="J81" i="30"/>
  <c r="I81" i="30"/>
  <c r="H81" i="30"/>
  <c r="G81" i="30"/>
  <c r="Y80" i="30"/>
  <c r="X80" i="30"/>
  <c r="W80" i="30"/>
  <c r="V80" i="30"/>
  <c r="U80" i="30"/>
  <c r="T80" i="30"/>
  <c r="S80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H79" i="30"/>
  <c r="G79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Y60" i="30"/>
  <c r="X60" i="30"/>
  <c r="W60" i="30"/>
  <c r="V60" i="30"/>
  <c r="U60" i="30"/>
  <c r="T60" i="30"/>
  <c r="S60" i="30"/>
  <c r="R60" i="30"/>
  <c r="Q60" i="30"/>
  <c r="P60" i="30"/>
  <c r="O60" i="30"/>
  <c r="N60" i="30"/>
  <c r="M60" i="30"/>
  <c r="L60" i="30"/>
  <c r="K60" i="30"/>
  <c r="J60" i="30"/>
  <c r="I60" i="30"/>
  <c r="H60" i="30"/>
  <c r="G60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Y58" i="30"/>
  <c r="X58" i="30"/>
  <c r="W58" i="30"/>
  <c r="V58" i="30"/>
  <c r="U58" i="30"/>
  <c r="T58" i="30"/>
  <c r="S58" i="30"/>
  <c r="R58" i="30"/>
  <c r="Q58" i="30"/>
  <c r="P58" i="30"/>
  <c r="O58" i="30"/>
  <c r="N58" i="30"/>
  <c r="M58" i="30"/>
  <c r="L58" i="30"/>
  <c r="K58" i="30"/>
  <c r="J58" i="30"/>
  <c r="I58" i="30"/>
  <c r="H58" i="30"/>
  <c r="G58" i="30"/>
  <c r="Y57" i="30"/>
  <c r="X57" i="30"/>
  <c r="W57" i="30"/>
  <c r="V57" i="30"/>
  <c r="U57" i="30"/>
  <c r="T57" i="30"/>
  <c r="S57" i="30"/>
  <c r="R57" i="30"/>
  <c r="Q57" i="30"/>
  <c r="P57" i="30"/>
  <c r="O57" i="30"/>
  <c r="N57" i="30"/>
  <c r="M57" i="30"/>
  <c r="L57" i="30"/>
  <c r="K57" i="30"/>
  <c r="J57" i="30"/>
  <c r="I57" i="30"/>
  <c r="H57" i="30"/>
  <c r="G57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Q50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J53" i="30"/>
  <c r="I53" i="30"/>
  <c r="H53" i="30"/>
  <c r="G53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Y50" i="30"/>
  <c r="X50" i="30"/>
  <c r="W50" i="30"/>
  <c r="V50" i="30"/>
  <c r="U50" i="30"/>
  <c r="T50" i="30"/>
  <c r="S50" i="30"/>
  <c r="R50" i="30"/>
  <c r="P50" i="30"/>
  <c r="O50" i="30"/>
  <c r="N50" i="30"/>
  <c r="M50" i="30"/>
  <c r="L50" i="30"/>
  <c r="K50" i="30"/>
  <c r="J50" i="30"/>
  <c r="I50" i="30"/>
  <c r="H50" i="30"/>
  <c r="G50" i="30"/>
  <c r="Y48" i="30"/>
  <c r="X48" i="30"/>
  <c r="W48" i="30"/>
  <c r="V48" i="30"/>
  <c r="U48" i="30"/>
  <c r="T48" i="30"/>
  <c r="S48" i="30"/>
  <c r="R48" i="30"/>
  <c r="Q48" i="30"/>
  <c r="P48" i="30"/>
  <c r="O48" i="30"/>
  <c r="N48" i="30"/>
  <c r="M48" i="30"/>
  <c r="L48" i="30"/>
  <c r="K48" i="30"/>
  <c r="J48" i="30"/>
  <c r="I48" i="30"/>
  <c r="H48" i="30"/>
  <c r="G48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Y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Y41" i="30"/>
  <c r="X41" i="30"/>
  <c r="W41" i="30"/>
  <c r="V41" i="30"/>
  <c r="U41" i="30"/>
  <c r="T41" i="30"/>
  <c r="S41" i="30"/>
  <c r="R41" i="30"/>
  <c r="Q41" i="30"/>
  <c r="P41" i="30"/>
  <c r="O41" i="30"/>
  <c r="N41" i="30"/>
  <c r="M41" i="30"/>
  <c r="L41" i="30"/>
  <c r="K41" i="30"/>
  <c r="J41" i="30"/>
  <c r="I41" i="30"/>
  <c r="H41" i="30"/>
  <c r="G41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Y31" i="30"/>
  <c r="X31" i="30"/>
  <c r="W31" i="30"/>
  <c r="V31" i="30"/>
  <c r="U31" i="30"/>
  <c r="T31" i="30"/>
  <c r="S31" i="30"/>
  <c r="R31" i="30"/>
  <c r="Q31" i="30"/>
  <c r="P31" i="30"/>
  <c r="O31" i="30"/>
  <c r="N31" i="30"/>
  <c r="M31" i="30"/>
  <c r="L31" i="30"/>
  <c r="K31" i="30"/>
  <c r="J31" i="30"/>
  <c r="I31" i="30"/>
  <c r="H31" i="30"/>
  <c r="G31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Y27" i="30"/>
  <c r="X27" i="30"/>
  <c r="W27" i="30"/>
  <c r="V27" i="30"/>
  <c r="U27" i="30"/>
  <c r="T27" i="30"/>
  <c r="S27" i="30"/>
  <c r="R27" i="30"/>
  <c r="Q27" i="30"/>
  <c r="P27" i="30"/>
  <c r="O27" i="30"/>
  <c r="N27" i="30"/>
  <c r="M27" i="30"/>
  <c r="L27" i="30"/>
  <c r="K27" i="30"/>
  <c r="J27" i="30"/>
  <c r="I27" i="30"/>
  <c r="H27" i="30"/>
  <c r="G27" i="30"/>
  <c r="Y26" i="30"/>
  <c r="X26" i="30"/>
  <c r="W26" i="30"/>
  <c r="V26" i="30"/>
  <c r="U26" i="30"/>
  <c r="T26" i="30"/>
  <c r="S26" i="30"/>
  <c r="R26" i="30"/>
  <c r="Q26" i="30"/>
  <c r="P26" i="30"/>
  <c r="O26" i="30"/>
  <c r="N26" i="30"/>
  <c r="M26" i="30"/>
  <c r="L26" i="30"/>
  <c r="K26" i="30"/>
  <c r="J26" i="30"/>
  <c r="I26" i="30"/>
  <c r="H26" i="30"/>
  <c r="G26" i="30"/>
  <c r="Y25" i="30"/>
  <c r="X25" i="30"/>
  <c r="W25" i="30"/>
  <c r="V25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Y24" i="30"/>
  <c r="X24" i="30"/>
  <c r="W24" i="30"/>
  <c r="V24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Y23" i="30"/>
  <c r="X23" i="30"/>
  <c r="W23" i="30"/>
  <c r="V23" i="30"/>
  <c r="U23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Y22" i="30"/>
  <c r="X22" i="30"/>
  <c r="W22" i="30"/>
  <c r="V22" i="30"/>
  <c r="U22" i="30"/>
  <c r="T22" i="30"/>
  <c r="S22" i="30"/>
  <c r="R22" i="30"/>
  <c r="Q22" i="30"/>
  <c r="P22" i="30"/>
  <c r="O22" i="30"/>
  <c r="N22" i="30"/>
  <c r="M22" i="30"/>
  <c r="L22" i="30"/>
  <c r="K22" i="30"/>
  <c r="J22" i="30"/>
  <c r="I22" i="30"/>
  <c r="H22" i="30"/>
  <c r="G22" i="30"/>
  <c r="Y21" i="30"/>
  <c r="X21" i="30"/>
  <c r="W21" i="30"/>
  <c r="V21" i="30"/>
  <c r="U21" i="30"/>
  <c r="T21" i="30"/>
  <c r="S21" i="30"/>
  <c r="R21" i="30"/>
  <c r="Q21" i="30"/>
  <c r="P21" i="30"/>
  <c r="O21" i="30"/>
  <c r="N21" i="30"/>
  <c r="M21" i="30"/>
  <c r="L21" i="30"/>
  <c r="K21" i="30"/>
  <c r="J21" i="30"/>
  <c r="I21" i="30"/>
  <c r="H21" i="30"/>
  <c r="G21" i="30"/>
  <c r="Y20" i="30"/>
  <c r="X20" i="30"/>
  <c r="W20" i="30"/>
  <c r="V2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Y19" i="30"/>
  <c r="X19" i="30"/>
  <c r="W19" i="30"/>
  <c r="V19" i="30"/>
  <c r="U19" i="30"/>
  <c r="T19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G19" i="30"/>
  <c r="Y18" i="30"/>
  <c r="X18" i="30"/>
  <c r="W18" i="30"/>
  <c r="V18" i="30"/>
  <c r="U18" i="30"/>
  <c r="T18" i="30"/>
  <c r="S18" i="30"/>
  <c r="R18" i="30"/>
  <c r="Q18" i="30"/>
  <c r="P18" i="30"/>
  <c r="O18" i="30"/>
  <c r="N18" i="30"/>
  <c r="M18" i="30"/>
  <c r="L18" i="30"/>
  <c r="K18" i="30"/>
  <c r="J18" i="30"/>
  <c r="I18" i="30"/>
  <c r="H18" i="30"/>
  <c r="G18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G14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G11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D96" i="30"/>
  <c r="D93" i="30"/>
  <c r="D77" i="30"/>
  <c r="D55" i="30"/>
  <c r="D49" i="30"/>
  <c r="J95" i="32" l="1"/>
  <c r="P96" i="30"/>
  <c r="L76" i="32"/>
  <c r="N54" i="33"/>
  <c r="L48" i="32"/>
  <c r="L92" i="32"/>
  <c r="M95" i="32"/>
  <c r="L54" i="32"/>
  <c r="L96" i="32" s="1"/>
  <c r="N96" i="30"/>
  <c r="S96" i="30"/>
  <c r="Q96" i="30"/>
  <c r="H96" i="30"/>
  <c r="T96" i="30"/>
  <c r="U96" i="30" s="1"/>
  <c r="G55" i="30"/>
  <c r="P55" i="30"/>
  <c r="V96" i="30"/>
  <c r="Q49" i="30"/>
  <c r="S55" i="30"/>
  <c r="G77" i="30"/>
  <c r="H55" i="30"/>
  <c r="T55" i="30"/>
  <c r="H77" i="30"/>
  <c r="T77" i="30"/>
  <c r="M49" i="30"/>
  <c r="V55" i="30"/>
  <c r="J77" i="30"/>
  <c r="V77" i="30"/>
  <c r="S77" i="30"/>
  <c r="G93" i="30"/>
  <c r="S93" i="30"/>
  <c r="Q93" i="30"/>
  <c r="M93" i="30"/>
  <c r="P93" i="30"/>
  <c r="H49" i="30"/>
  <c r="J55" i="30"/>
  <c r="K77" i="30"/>
  <c r="H93" i="30"/>
  <c r="T93" i="30"/>
  <c r="V49" i="30"/>
  <c r="K55" i="30"/>
  <c r="X55" i="30"/>
  <c r="X77" i="30"/>
  <c r="G96" i="30"/>
  <c r="T49" i="30"/>
  <c r="M77" i="30"/>
  <c r="J93" i="30"/>
  <c r="V93" i="30"/>
  <c r="S49" i="30"/>
  <c r="J49" i="30"/>
  <c r="K49" i="30"/>
  <c r="X49" i="30"/>
  <c r="M55" i="30"/>
  <c r="N77" i="30"/>
  <c r="K93" i="30"/>
  <c r="N55" i="30"/>
  <c r="O55" i="30" s="1"/>
  <c r="X93" i="30"/>
  <c r="J96" i="30"/>
  <c r="N49" i="30"/>
  <c r="P77" i="30"/>
  <c r="Q77" i="30"/>
  <c r="N93" i="30"/>
  <c r="P49" i="30"/>
  <c r="Q55" i="30"/>
  <c r="R55" i="30" s="1"/>
  <c r="X96" i="30"/>
  <c r="M96" i="30"/>
  <c r="Y96" i="30"/>
  <c r="K96" i="30"/>
  <c r="G95" i="33"/>
  <c r="I95" i="33" s="1"/>
  <c r="K48" i="33"/>
  <c r="N95" i="33"/>
  <c r="K92" i="33"/>
  <c r="L54" i="33"/>
  <c r="M54" i="33"/>
  <c r="O54" i="33" s="1"/>
  <c r="K95" i="33"/>
  <c r="K54" i="33"/>
  <c r="J54" i="33"/>
  <c r="H54" i="33"/>
  <c r="G54" i="33"/>
  <c r="M92" i="33"/>
  <c r="M95" i="33"/>
  <c r="L48" i="33"/>
  <c r="G76" i="33"/>
  <c r="G48" i="33"/>
  <c r="M76" i="33"/>
  <c r="G92" i="33"/>
  <c r="J76" i="33"/>
  <c r="H92" i="33"/>
  <c r="N48" i="33"/>
  <c r="L76" i="33"/>
  <c r="H76" i="33"/>
  <c r="H48" i="33"/>
  <c r="L92" i="33"/>
  <c r="M48" i="33"/>
  <c r="K76" i="33"/>
  <c r="N76" i="33"/>
  <c r="N92" i="33"/>
  <c r="O92" i="33" s="1"/>
  <c r="J48" i="33"/>
  <c r="J92" i="33"/>
  <c r="J54" i="32"/>
  <c r="H95" i="32"/>
  <c r="K76" i="32"/>
  <c r="G95" i="32"/>
  <c r="N95" i="32"/>
  <c r="J48" i="32"/>
  <c r="N92" i="32"/>
  <c r="G76" i="32"/>
  <c r="J92" i="32"/>
  <c r="G48" i="32"/>
  <c r="K92" i="32"/>
  <c r="K95" i="32"/>
  <c r="K48" i="32"/>
  <c r="G92" i="32"/>
  <c r="M92" i="32"/>
  <c r="M76" i="32"/>
  <c r="N76" i="32"/>
  <c r="M54" i="32"/>
  <c r="G54" i="32"/>
  <c r="N54" i="32"/>
  <c r="K54" i="32"/>
  <c r="H76" i="32"/>
  <c r="H92" i="32"/>
  <c r="M48" i="32"/>
  <c r="N48" i="32"/>
  <c r="H48" i="32"/>
  <c r="H54" i="32"/>
  <c r="J76" i="32"/>
  <c r="Q96" i="31"/>
  <c r="R96" i="31" s="1"/>
  <c r="K55" i="31"/>
  <c r="S55" i="31"/>
  <c r="K77" i="31"/>
  <c r="S77" i="31"/>
  <c r="K93" i="31"/>
  <c r="L93" i="31" s="1"/>
  <c r="S93" i="31"/>
  <c r="U93" i="31" s="1"/>
  <c r="M96" i="31"/>
  <c r="T55" i="31"/>
  <c r="N96" i="31"/>
  <c r="V96" i="31"/>
  <c r="W96" i="31" s="1"/>
  <c r="T93" i="31"/>
  <c r="M77" i="31"/>
  <c r="G93" i="31"/>
  <c r="G49" i="31"/>
  <c r="V49" i="31"/>
  <c r="V77" i="31"/>
  <c r="N93" i="31"/>
  <c r="P93" i="31"/>
  <c r="S49" i="31"/>
  <c r="X49" i="31"/>
  <c r="G55" i="31"/>
  <c r="G77" i="31"/>
  <c r="T49" i="31"/>
  <c r="H55" i="31"/>
  <c r="X55" i="31"/>
  <c r="H77" i="31"/>
  <c r="X77" i="31"/>
  <c r="J96" i="31"/>
  <c r="L96" i="31" s="1"/>
  <c r="T77" i="31"/>
  <c r="U77" i="31" s="1"/>
  <c r="M55" i="31"/>
  <c r="M93" i="31"/>
  <c r="J49" i="31"/>
  <c r="V55" i="31"/>
  <c r="N77" i="31"/>
  <c r="V93" i="31"/>
  <c r="X93" i="31"/>
  <c r="K49" i="31"/>
  <c r="P49" i="31"/>
  <c r="Q93" i="31"/>
  <c r="Q49" i="31"/>
  <c r="P55" i="31"/>
  <c r="Y55" i="31" s="1"/>
  <c r="P77" i="31"/>
  <c r="Y77" i="31" s="1"/>
  <c r="M49" i="31"/>
  <c r="Q55" i="31"/>
  <c r="Q77" i="31"/>
  <c r="K96" i="31"/>
  <c r="S96" i="31"/>
  <c r="J93" i="31"/>
  <c r="N49" i="31"/>
  <c r="N55" i="31"/>
  <c r="H93" i="31"/>
  <c r="I93" i="31" s="1"/>
  <c r="H49" i="31"/>
  <c r="I49" i="31" s="1"/>
  <c r="J55" i="31"/>
  <c r="L55" i="31" s="1"/>
  <c r="J77" i="31"/>
  <c r="L77" i="31" s="1"/>
  <c r="T96" i="31"/>
  <c r="I96" i="31"/>
  <c r="Y96" i="31"/>
  <c r="W96" i="30"/>
  <c r="R96" i="30"/>
  <c r="I96" i="30" l="1"/>
  <c r="O96" i="30"/>
  <c r="U96" i="31"/>
  <c r="I55" i="30"/>
  <c r="Y55" i="30"/>
  <c r="I48" i="33"/>
  <c r="I76" i="33"/>
  <c r="O48" i="33"/>
  <c r="J96" i="32"/>
  <c r="I48" i="32"/>
  <c r="H96" i="32"/>
  <c r="O54" i="32"/>
  <c r="I95" i="32"/>
  <c r="O95" i="32"/>
  <c r="N96" i="32"/>
  <c r="I54" i="32"/>
  <c r="O93" i="31"/>
  <c r="R93" i="31"/>
  <c r="L49" i="31"/>
  <c r="M97" i="31"/>
  <c r="W49" i="31"/>
  <c r="X97" i="31"/>
  <c r="W93" i="31"/>
  <c r="O55" i="31"/>
  <c r="R77" i="31"/>
  <c r="U49" i="31"/>
  <c r="L77" i="30"/>
  <c r="P97" i="30"/>
  <c r="U49" i="30"/>
  <c r="V97" i="30"/>
  <c r="L55" i="30"/>
  <c r="L93" i="30"/>
  <c r="U77" i="30"/>
  <c r="I77" i="30"/>
  <c r="U55" i="30"/>
  <c r="O77" i="30"/>
  <c r="W55" i="30"/>
  <c r="Y77" i="30"/>
  <c r="W77" i="30"/>
  <c r="R49" i="30"/>
  <c r="N97" i="30"/>
  <c r="J97" i="30"/>
  <c r="H97" i="30"/>
  <c r="O49" i="30"/>
  <c r="W93" i="30"/>
  <c r="R93" i="30"/>
  <c r="S97" i="30"/>
  <c r="M97" i="30"/>
  <c r="Y49" i="30"/>
  <c r="W49" i="30"/>
  <c r="U93" i="30"/>
  <c r="R77" i="30"/>
  <c r="L49" i="30"/>
  <c r="I93" i="30"/>
  <c r="X97" i="30"/>
  <c r="Q97" i="30"/>
  <c r="Y93" i="30"/>
  <c r="O93" i="30"/>
  <c r="T97" i="30"/>
  <c r="L96" i="30"/>
  <c r="K97" i="30"/>
  <c r="O76" i="33"/>
  <c r="I92" i="33"/>
  <c r="O95" i="33"/>
  <c r="J96" i="33"/>
  <c r="G96" i="33"/>
  <c r="I54" i="33"/>
  <c r="H96" i="33"/>
  <c r="I96" i="33" s="1"/>
  <c r="L96" i="33"/>
  <c r="M96" i="33" s="1"/>
  <c r="N96" i="33"/>
  <c r="O48" i="32"/>
  <c r="O76" i="32"/>
  <c r="I76" i="32"/>
  <c r="G96" i="32"/>
  <c r="I92" i="32"/>
  <c r="O92" i="32"/>
  <c r="U55" i="31"/>
  <c r="K97" i="31"/>
  <c r="Q97" i="31"/>
  <c r="R97" i="31" s="1"/>
  <c r="G97" i="31"/>
  <c r="N97" i="31"/>
  <c r="J97" i="31"/>
  <c r="Y49" i="31"/>
  <c r="R49" i="31"/>
  <c r="S97" i="31"/>
  <c r="I55" i="31"/>
  <c r="W77" i="31"/>
  <c r="O96" i="31"/>
  <c r="V97" i="31"/>
  <c r="P97" i="31"/>
  <c r="H97" i="31"/>
  <c r="T97" i="31"/>
  <c r="R55" i="31"/>
  <c r="Y93" i="31"/>
  <c r="O49" i="31"/>
  <c r="W55" i="31"/>
  <c r="O77" i="31"/>
  <c r="I77" i="31"/>
  <c r="B97" i="33"/>
  <c r="B3" i="33"/>
  <c r="B97" i="32"/>
  <c r="B3" i="32"/>
  <c r="B98" i="31"/>
  <c r="B3" i="31"/>
  <c r="G49" i="30"/>
  <c r="B98" i="30"/>
  <c r="B3" i="30"/>
  <c r="B92" i="28"/>
  <c r="B37" i="27"/>
  <c r="B33" i="26"/>
  <c r="B92" i="8"/>
  <c r="B37" i="18"/>
  <c r="B33" i="6"/>
  <c r="B93" i="25"/>
  <c r="B38" i="24"/>
  <c r="B34" i="23"/>
  <c r="B93" i="22"/>
  <c r="B38" i="21"/>
  <c r="B34" i="1"/>
  <c r="Y97" i="31" l="1"/>
  <c r="O97" i="31"/>
  <c r="I97" i="31"/>
  <c r="I49" i="30"/>
  <c r="G97" i="30"/>
  <c r="I97" i="30" s="1"/>
  <c r="K96" i="33"/>
  <c r="O96" i="33"/>
  <c r="L97" i="31"/>
  <c r="K96" i="32"/>
  <c r="I96" i="32"/>
  <c r="O96" i="32"/>
  <c r="M96" i="32"/>
  <c r="U97" i="31"/>
  <c r="W97" i="31"/>
  <c r="U97" i="30"/>
  <c r="L97" i="30"/>
  <c r="O97" i="30"/>
  <c r="R97" i="30"/>
  <c r="W97" i="30"/>
  <c r="Y97" i="30"/>
  <c r="P33" i="1"/>
  <c r="I33" i="1"/>
  <c r="F91" i="28"/>
  <c r="G91" i="28"/>
  <c r="I91" i="28"/>
  <c r="K91" i="28"/>
  <c r="M91" i="28"/>
  <c r="M92" i="22"/>
  <c r="S92" i="25"/>
  <c r="S92" i="22"/>
  <c r="P37" i="21"/>
  <c r="P37" i="24"/>
  <c r="P33" i="23"/>
  <c r="C33" i="23"/>
  <c r="C33" i="1"/>
  <c r="G37" i="24"/>
  <c r="J92" i="22"/>
  <c r="F92" i="22"/>
  <c r="D32" i="6"/>
  <c r="F32" i="6"/>
  <c r="H32" i="6"/>
  <c r="J32" i="6"/>
  <c r="O33" i="23" l="1"/>
  <c r="Q33" i="23" s="1"/>
  <c r="O37" i="24"/>
  <c r="Q37" i="24" s="1"/>
  <c r="R92" i="22"/>
  <c r="T92" i="22" s="1"/>
  <c r="O33" i="1"/>
  <c r="Q33" i="1" s="1"/>
  <c r="R92" i="25"/>
  <c r="T92" i="25" s="1"/>
  <c r="L91" i="28"/>
  <c r="J91" i="28"/>
  <c r="H91" i="28"/>
  <c r="N91" i="28"/>
  <c r="F33" i="1"/>
  <c r="I92" i="25"/>
  <c r="F37" i="24"/>
  <c r="H37" i="24" s="1"/>
  <c r="I92" i="22"/>
  <c r="G33" i="1"/>
  <c r="J33" i="1"/>
  <c r="H33" i="1" l="1"/>
  <c r="K33" i="1"/>
  <c r="F33" i="23" l="1"/>
  <c r="G33" i="23"/>
  <c r="J92" i="25"/>
  <c r="K92" i="25" s="1"/>
  <c r="H33" i="23" l="1"/>
  <c r="K92" i="22"/>
  <c r="G37" i="21"/>
  <c r="F37" i="21"/>
  <c r="H37" i="21" l="1"/>
  <c r="F91" i="8"/>
  <c r="G91" i="8"/>
  <c r="I91" i="8"/>
  <c r="K91" i="8"/>
  <c r="M91" i="8"/>
  <c r="N91" i="8" l="1"/>
  <c r="L91" i="8"/>
  <c r="J91" i="8"/>
  <c r="H91" i="8"/>
  <c r="B3" i="28"/>
  <c r="B3" i="27"/>
  <c r="B3" i="26"/>
  <c r="B3" i="8"/>
  <c r="B3" i="18"/>
  <c r="B3" i="6"/>
  <c r="B3" i="25"/>
  <c r="B3" i="24"/>
  <c r="B3" i="23"/>
  <c r="B3" i="22"/>
  <c r="B3" i="21"/>
  <c r="B3" i="1"/>
  <c r="J36" i="27" l="1"/>
  <c r="H36" i="27"/>
  <c r="F36" i="27"/>
  <c r="D36" i="27"/>
  <c r="C36" i="27"/>
  <c r="J32" i="26"/>
  <c r="H32" i="26"/>
  <c r="F32" i="26"/>
  <c r="D32" i="26"/>
  <c r="C32" i="26"/>
  <c r="I36" i="27" l="1"/>
  <c r="K32" i="26"/>
  <c r="I32" i="26"/>
  <c r="E32" i="26"/>
  <c r="E36" i="27"/>
  <c r="G36" i="27"/>
  <c r="K36" i="27"/>
  <c r="G32" i="26"/>
  <c r="W92" i="25"/>
  <c r="U92" i="25"/>
  <c r="P92" i="25"/>
  <c r="O92" i="25"/>
  <c r="M92" i="25"/>
  <c r="L92" i="25"/>
  <c r="G92" i="25"/>
  <c r="F92" i="25"/>
  <c r="T37" i="24"/>
  <c r="R37" i="24"/>
  <c r="M37" i="24"/>
  <c r="L37" i="24"/>
  <c r="J37" i="24"/>
  <c r="I37" i="24"/>
  <c r="D37" i="24"/>
  <c r="C37" i="24"/>
  <c r="T33" i="23"/>
  <c r="R33" i="23"/>
  <c r="M33" i="23"/>
  <c r="L33" i="23"/>
  <c r="J33" i="23"/>
  <c r="I33" i="23"/>
  <c r="D33" i="23"/>
  <c r="W92" i="22"/>
  <c r="U92" i="22"/>
  <c r="P92" i="22"/>
  <c r="O92" i="22"/>
  <c r="L92" i="22"/>
  <c r="G92" i="22"/>
  <c r="H92" i="22" s="1"/>
  <c r="T37" i="21"/>
  <c r="R37" i="21"/>
  <c r="M37" i="21"/>
  <c r="L37" i="21"/>
  <c r="J37" i="21"/>
  <c r="I37" i="21"/>
  <c r="D37" i="21"/>
  <c r="C37" i="21"/>
  <c r="T33" i="1"/>
  <c r="R33" i="1"/>
  <c r="M33" i="1"/>
  <c r="L33" i="1"/>
  <c r="D33" i="1"/>
  <c r="S33" i="1" l="1"/>
  <c r="U33" i="1"/>
  <c r="X92" i="22"/>
  <c r="V92" i="22"/>
  <c r="N33" i="1"/>
  <c r="E33" i="1"/>
  <c r="U37" i="21"/>
  <c r="X92" i="25"/>
  <c r="N92" i="22"/>
  <c r="K37" i="21"/>
  <c r="Q92" i="25"/>
  <c r="N37" i="21"/>
  <c r="S37" i="21"/>
  <c r="E37" i="21"/>
  <c r="Q92" i="22"/>
  <c r="K37" i="24"/>
  <c r="E37" i="24"/>
  <c r="S37" i="24"/>
  <c r="N33" i="23"/>
  <c r="E33" i="23"/>
  <c r="K33" i="23"/>
  <c r="H92" i="25"/>
  <c r="N92" i="25"/>
  <c r="V92" i="25"/>
  <c r="N37" i="24"/>
  <c r="U37" i="24"/>
  <c r="S33" i="23"/>
  <c r="U33" i="23"/>
  <c r="J36" i="18" l="1"/>
  <c r="H36" i="18"/>
  <c r="F36" i="18"/>
  <c r="D36" i="18"/>
  <c r="C36" i="18"/>
  <c r="I36" i="18" l="1"/>
  <c r="G36" i="18"/>
  <c r="E36" i="18"/>
  <c r="K36" i="18"/>
  <c r="C32" i="6" l="1"/>
  <c r="G32" i="6" l="1"/>
  <c r="I32" i="6"/>
  <c r="K32" i="6"/>
  <c r="E32" i="6"/>
  <c r="O37" i="21"/>
  <c r="Q37" i="21" s="1"/>
</calcChain>
</file>

<file path=xl/sharedStrings.xml><?xml version="1.0" encoding="utf-8"?>
<sst xmlns="http://schemas.openxmlformats.org/spreadsheetml/2006/main" count="3031" uniqueCount="303">
  <si>
    <t>DEPARTAMENTO</t>
  </si>
  <si>
    <t>N° DE CASOS</t>
  </si>
  <si>
    <t>%</t>
  </si>
  <si>
    <t>SOBREPESO</t>
  </si>
  <si>
    <t>OBESIDAD</t>
  </si>
  <si>
    <t>PROVINCIA</t>
  </si>
  <si>
    <t>DISTRITO</t>
  </si>
  <si>
    <t>UBIGEO</t>
  </si>
  <si>
    <t>ANEMIA TOTAL</t>
  </si>
  <si>
    <t>DESNUTRICIÓN CRÓNICA</t>
  </si>
  <si>
    <t>N° DE EVALUADOS</t>
  </si>
  <si>
    <r>
      <t>INDICADOR TALLA / EDAD</t>
    </r>
    <r>
      <rPr>
        <b/>
        <vertAlign val="superscript"/>
        <sz val="10"/>
        <color theme="1"/>
        <rFont val="Arial Narrow"/>
        <family val="2"/>
      </rPr>
      <t>1</t>
    </r>
  </si>
  <si>
    <r>
      <t>INDICADOR PESO / EDAD</t>
    </r>
    <r>
      <rPr>
        <b/>
        <vertAlign val="superscript"/>
        <sz val="10"/>
        <color theme="1"/>
        <rFont val="Arial Narrow"/>
        <family val="2"/>
      </rPr>
      <t>2</t>
    </r>
  </si>
  <si>
    <t>DESNUTRICIÓN GLOBAL</t>
  </si>
  <si>
    <r>
      <t>INDICADOR PESO / TALLA</t>
    </r>
    <r>
      <rPr>
        <b/>
        <vertAlign val="superscript"/>
        <sz val="10"/>
        <color theme="1"/>
        <rFont val="Arial Narrow"/>
        <family val="2"/>
      </rPr>
      <t>3</t>
    </r>
  </si>
  <si>
    <t>DESNUTRICIÓN AGUDA</t>
  </si>
  <si>
    <t>1,2,3 Indicadores Nitricionales según OMS.</t>
  </si>
  <si>
    <t>ANEMIA LEVE</t>
  </si>
  <si>
    <t>ANEMIA MODERADA</t>
  </si>
  <si>
    <t>ANEMIA SEVERA</t>
  </si>
  <si>
    <r>
      <t>RIESGO DE D. CRÓNICA</t>
    </r>
    <r>
      <rPr>
        <b/>
        <vertAlign val="superscript"/>
        <sz val="10"/>
        <color theme="1"/>
        <rFont val="Arial Narrow"/>
        <family val="2"/>
      </rPr>
      <t>4</t>
    </r>
  </si>
  <si>
    <t>4 Riesgo de Desnutrición Crónica (T/E)se considera a todo niño que se encuentra con valor -2 &lt;= Z &lt; -1</t>
  </si>
  <si>
    <t>DIRESA / GERESA / DIRIS</t>
  </si>
  <si>
    <t>MINISTERIO DE SALUD</t>
  </si>
  <si>
    <t>CENTRO NACIONAL DE ALIMENTACIÓN Y NUTRICIÓN</t>
  </si>
  <si>
    <t>INSTITUTO NACIONAL DE SALUD</t>
  </si>
  <si>
    <t>DIRECCIÓN EJECUTIVA DE VIGILANCIA ALIMENTARIA Y NUTRICIONAL</t>
  </si>
  <si>
    <t>ESTADO NUTRICIONAL EN NIÑOS MENORES DE 3 AÑOS SEGÚN DEPARTAMENTO DEL ESTABLECIMIENTO DE SALUD</t>
  </si>
  <si>
    <t>ESTADO NUTRICIONAL EN NIÑOS MENORES DE 3 AÑOS SEGÚN DIRESA/GERESA/DIRIS</t>
  </si>
  <si>
    <t>ESTADO NUTRICIONAL EN NIÑOS MENORES DE 5 AÑOS SEGÚN DEPARTAMENTO DEL ESTABLECIMIENTO DE SALUD</t>
  </si>
  <si>
    <t>ESTADO NUTRICIONAL EN NIÑOS MENORES DE 5 AÑOS SEGÚN DIRESA/GERESA/DIRIS</t>
  </si>
  <si>
    <t>ANEMIA EN NIÑOS ENTRE 6 A 35 MESES SEGÚN DEPARTAMENTO DEL ESTABLECIMIENTO DE SALUD</t>
  </si>
  <si>
    <t>ANEMIA EN NIÑOS ENTRE 6 A 35 MESES SEGÚN DIRESA/GERESA/DIRIS</t>
  </si>
  <si>
    <t>ANEMIA EN NIÑOS ENTRE 6 A 59 MESES SEGÚN DEPARTAMENTO DEL ESTABLECIMIENTO DE SALUD</t>
  </si>
  <si>
    <t>ANEMIA EN NIÑOS ENTRE 6 A 59 MESES SEGÚN DIRESA/GERESA/DIRIS</t>
  </si>
  <si>
    <t>SISTEMA DE INFORMACIÓN DEL ESTADO NUTRICIONAL</t>
  </si>
  <si>
    <t>(SD) Distritos sin registro de niños.</t>
  </si>
  <si>
    <t>ESTADO NUTRICIONAL EN NIÑOS MENORES DE 3 AÑOS SEGÚN DEPARTAMENTO/PROVINCIA/DISTRITO DEL ESTABLECIMIENTO DE SALUD</t>
  </si>
  <si>
    <t>ESTADO NUTRICIONAL EN NIÑOS MENORES DE 5 AÑOS SEGÚN DEPARTAMENTO/PROVINCIA/DISTRITO DEL ESTABLECIMIENTO DE SALUD</t>
  </si>
  <si>
    <t>ANEMIA EN NIÑOS ENTRE 6 A 35 MESES SEGÚN DEPARTAMENTO/PROVINCIA/DISTRITO DEL ESTABLECIMIENTO DE SALUD</t>
  </si>
  <si>
    <t>ANEMIA EN NIÑOS ENTRE 6 A 59 MESES SEGÚN DEPARTAMENTO/PROVINCIA/DISTRITO DEL ESTABLECIMIENTO DE SALUD</t>
  </si>
  <si>
    <t>RIESGO  DE D. AGUDA</t>
  </si>
  <si>
    <t>FRONTERA: INDICADORES NUTRICIONALES EN NIÑOS MENORES DE 3 Y 5 AÑOS</t>
  </si>
  <si>
    <t xml:space="preserve">
CUADRO N°01
FRONTERA: ESTADO NUTRICIONAL EN NIÑOS MENORES DE 3 AÑOS QUE ACCEDIERON A LOS ESTABLECIMIENTOS DE SALUD POR INDICADORES ANTROPOMÉTRICOS, SEGÚN DEPARTAMENTO DEL ESTABLECIMIENTO DE SALUD</t>
  </si>
  <si>
    <t>FRONTERA</t>
  </si>
  <si>
    <t xml:space="preserve">
CUADRO N°02
FRONTERA: ESTADO NUTRICIONAL EN NIÑOS MENORES DE 3 AÑOS QUE ACCEDIERON A LOS ESTABLECIMIENTOS DE SALUD POR INDICADORES ANTROPOMÉTRICOS, SEGÚN DIRESA / GERESA / DIRIS</t>
  </si>
  <si>
    <t xml:space="preserve">
CUADRO N°03
FRONTERA: ESTADO NUTRICIONAL EN NIÑOS MENORES DE 3 AÑOS QUE ACCEDIERON A LOS ESTABLECIMIENTOS DE SALUD POR INDICADORES ANTROPOMÉTRICOS, SEGÚN DEPARTAMENTO, PROVINCIA Y DISTRITO DEL ESTABLECIMIENTO DE SALUD</t>
  </si>
  <si>
    <t>Zona Norte</t>
  </si>
  <si>
    <t>Zona Altiplánica</t>
  </si>
  <si>
    <t>Zona Sur</t>
  </si>
  <si>
    <t>ZONAS</t>
  </si>
  <si>
    <t>ESTADO NUTRICIONAL EN NIÑOS MENORES DE 3 AÑOS SEGÚN ZONA/DEPARTAMENTO/PROVINCIA/DISTRITO DEL ESTABLECIMIENTO DE SALUD</t>
  </si>
  <si>
    <t>ESTADO NUTRICIONAL EN NIÑOS MENORES DE 5 AÑOS SEGÚN ZONA/DEPARTAMENTO/PROVINCIA/DISTRITO DEL ESTABLECIMIENTO DE SALUD</t>
  </si>
  <si>
    <t>ANEMIA EN NIÑOS ENTRE 6 A 35 MESES SEGÚN ZONA/DEPARTAMENTO/PROVINCIA/DISTRITO DEL ESTABLECIMIENTO DE SALUD</t>
  </si>
  <si>
    <t>ANEMIA EN NIÑOS ENTRE 6 A 59 MESES SEGÚN ZONA/DEPARTAMENTO/PROVINCIA/DISTRITO DEL ESTABLECIMIENTO DE SALUD</t>
  </si>
  <si>
    <t xml:space="preserve">
CUADRO N°04
FRONTERA: ESTADO NUTRICIONAL EN NIÑOS MENORES DE 3 AÑOS QUE ACCEDIERON A LOS ESTABLECIMIENTOS DE SALUD POR INDICADORES ANTROPOMÉTRICOS, SEGÚN DEPARTAMENTO, PROVINCIA Y DISTRITO DEL ESTABLECIMIENTO DE SALUD</t>
  </si>
  <si>
    <t xml:space="preserve">
CUADRO N°05
FRONTERA: ESTADO NUTRICIONAL EN NIÑOS MENORES DE 5 AÑOS QUE ACCEDIERON A LOS ESTABLECIMIENTOS DE SALUD POR INDICADORES ANTROPOMÉTRICOS, SEGÚN DEPARTAMENTO DEL ESTABLECIMIENTO DE SALUD</t>
  </si>
  <si>
    <t xml:space="preserve">
CUADRO N°06
FRONTERA: ESTADO NUTRICIONAL EN NIÑOS MENORES DE 5 AÑOS QUE ACCEDIERON A LOS ESTABLECIMIENTOS DE SALUD POR INDICADORES ANTROPOMÉTRICOS, SEGÚN DIRESA / GERESA / DIRIS</t>
  </si>
  <si>
    <t xml:space="preserve">
CUADRO N°07
FRONTERA: ESTADO NUTRICIONAL EN NIÑOS MENORES DE 5 AÑOS QUE ACCEDIERON A LOS ESTABLECIMIENTOS DE SALUD POR INDICADORES ANTROPOMÉTRICOS, SEGÚN DEPARTAMENTO, PROVINCIA Y DISTRITO DEL ESTABLECIMIENTO DE SALUD</t>
  </si>
  <si>
    <t xml:space="preserve">
CUADRO N°08
FRONTERA: ESTADO NUTRICIONAL EN NIÑOS MENORES DE 5 AÑOS QUE ACCEDIERON A LOS ESTABLECIMIENTOS DE SALUD POR INDICADORES ANTROPOMÉTRICOS, SEGÚN DEPARTAMENTO, PROVINCIA Y DISTRITO DEL ESTABLECIMIENTO DE SALUD</t>
  </si>
  <si>
    <t xml:space="preserve">
CUADRO N°09
FRONTERA: ANEMIA EN NIÑOS ENTRE 6 A 35 MESES QUE ACCEDIERON A LOS ESTABLECIMIENTOS DE SALUD, SEGÚN DEPARTAMENTO DEL ESTABLECIMIENTO DE SALUD</t>
  </si>
  <si>
    <t xml:space="preserve">
CUADRO N°10
FRONTERA: ANEMIA EN NIÑOS ENTRE 6 A 35 MESES QUE ACCEDIERON A LOS ESTABLECIMIENTOS DE SALUD, SEGÚN DIRESA / GERESA / DIRIS</t>
  </si>
  <si>
    <t xml:space="preserve">
CUADRO N°11
FRONTERA: ANEMIA EN NIÑOS ENTRE 6 A 35 MESES QUE ACCEDIERON A LOS ESTABLECIMIENTOS DE SALUD, SEGÚN DEPARTAMENTO, PROVINCIA Y DISTRITO DEL ESTABLECIMIENTO DE SALUD</t>
  </si>
  <si>
    <t xml:space="preserve">
CUADRO N°12
FRONTERA: ANEMIA EN NIÑOS ENTRE 6 A 35 MESES QUE ACCEDIERON A LOS ESTABLECIMIENTOS DE SALUD, SEGÚN DEPARTAMENTO, PROVINCIA Y DISTRITO DEL ESTABLECIMIENTO DE SALUD</t>
  </si>
  <si>
    <t xml:space="preserve">
CUADRO N°13
FRONTERA: ANEMIA EN NIÑOS ENTRE 6 A 59 MESES QUE ACCEDIERON A LOS ESTABLECIMIENTOS DE SALUD, SEGÚN DEPARTAMENTO DEL ESTABLECIMIENTO DE SALUD</t>
  </si>
  <si>
    <t xml:space="preserve">
CUADRO N°14
FRONTERA: ANEMIA EN NIÑOS ENTRE 6 A 59 MESES QUE ACCEDIERON A LOS ESTABLECIMIENTOS DE SALUD, SEGÚN DIRESA / GERESA / DIRIS</t>
  </si>
  <si>
    <t xml:space="preserve">
CUADRO N°15
FRONTERA: ANEMIA EN NIÑOS ENTRE 6 A 59 MESES QUE ACCEDIERON A LOS ESTABLECIMIENTOS DE SALUD, SEGÚN DEPARTAMENTO, PROVINCIA Y DISTRITO DEL ESTABLECIMIENTO DE SALUD</t>
  </si>
  <si>
    <t xml:space="preserve">
CUADRO N°16
FRONTERA: ANEMIA EN NIÑOS ENTRE 6 A 59 MESES QUE ACCEDIERON A LOS ESTABLECIMIENTOS DE SALUD, SEGÚN DEPARTAMENTO, PROVINCIA Y DISTRITO DEL ESTABLECIMIENTO DE SALUD</t>
  </si>
  <si>
    <t>Puntos de corte para anemia según: Organización Mundial de la Salud sobre los límites de hemoglobina para definir la anemia en individuos y poblaciones- 2024</t>
  </si>
  <si>
    <t>Instituto Nacional de Salud / Centro Nacional de Alimentación y Nutrición / Dirección Ejecutiva de Vigilancia Alimentaria y Nutricional.</t>
  </si>
  <si>
    <t>Puno</t>
  </si>
  <si>
    <t>Chucuito</t>
  </si>
  <si>
    <t>Juli</t>
  </si>
  <si>
    <t>Desagüadero</t>
  </si>
  <si>
    <t>Kelluyo</t>
  </si>
  <si>
    <t>Acora</t>
  </si>
  <si>
    <t>Amantani</t>
  </si>
  <si>
    <t>Capachica</t>
  </si>
  <si>
    <t>Coata</t>
  </si>
  <si>
    <t>Huata</t>
  </si>
  <si>
    <t>Paucarcolla</t>
  </si>
  <si>
    <t>Platería</t>
  </si>
  <si>
    <t>Pisacoma</t>
  </si>
  <si>
    <t>Pomata</t>
  </si>
  <si>
    <t>Zepita</t>
  </si>
  <si>
    <t>El Collao</t>
  </si>
  <si>
    <t>Ilave</t>
  </si>
  <si>
    <t>Capazo</t>
  </si>
  <si>
    <t>Pilcuyo</t>
  </si>
  <si>
    <t>Huancané</t>
  </si>
  <si>
    <t>Cojata</t>
  </si>
  <si>
    <t>Pusi</t>
  </si>
  <si>
    <t>Taraco</t>
  </si>
  <si>
    <t>Vilque Chico</t>
  </si>
  <si>
    <t>Moho</t>
  </si>
  <si>
    <t>Conima</t>
  </si>
  <si>
    <t>Huayrapata</t>
  </si>
  <si>
    <t>Tilali</t>
  </si>
  <si>
    <t>San Antonio de Putina</t>
  </si>
  <si>
    <t>Ananea</t>
  </si>
  <si>
    <t>Sina</t>
  </si>
  <si>
    <t>Sandia</t>
  </si>
  <si>
    <t>San Juan Del Oro</t>
  </si>
  <si>
    <t>Yanahuaya</t>
  </si>
  <si>
    <t>San Pedro De Putina Punco</t>
  </si>
  <si>
    <t>Yunguyo</t>
  </si>
  <si>
    <t>Anapia</t>
  </si>
  <si>
    <t>Copani</t>
  </si>
  <si>
    <t>Cuturapi</t>
  </si>
  <si>
    <t>Ollaraya</t>
  </si>
  <si>
    <t>Tinicachi</t>
  </si>
  <si>
    <t>Unicachi</t>
  </si>
  <si>
    <t>Tacna</t>
  </si>
  <si>
    <t>Palca</t>
  </si>
  <si>
    <t>Tarata</t>
  </si>
  <si>
    <t>Zona Amazónica Articulada</t>
  </si>
  <si>
    <t>Madre de Dios</t>
  </si>
  <si>
    <t>Tahuamanu</t>
  </si>
  <si>
    <t>Iñapari</t>
  </si>
  <si>
    <t>Iberia</t>
  </si>
  <si>
    <t>Tambopata</t>
  </si>
  <si>
    <t>Las Piedras</t>
  </si>
  <si>
    <t>Zona Amazónica Fluvial</t>
  </si>
  <si>
    <t>Amazonas</t>
  </si>
  <si>
    <t>Bagua</t>
  </si>
  <si>
    <t>Imaza</t>
  </si>
  <si>
    <t>Condorcanqui</t>
  </si>
  <si>
    <t>El Cenepa</t>
  </si>
  <si>
    <t>Río Santiago</t>
  </si>
  <si>
    <t>Loreto</t>
  </si>
  <si>
    <t>Datem del Marañón</t>
  </si>
  <si>
    <t>Morona</t>
  </si>
  <si>
    <t>Andoas</t>
  </si>
  <si>
    <t>Maynas</t>
  </si>
  <si>
    <t>Napo</t>
  </si>
  <si>
    <t>Torres Causana</t>
  </si>
  <si>
    <t>Tigre</t>
  </si>
  <si>
    <t>Trompeteros</t>
  </si>
  <si>
    <t>Mariscal Ramon Castilla</t>
  </si>
  <si>
    <t>Ramón Castilla</t>
  </si>
  <si>
    <t>Yavarí</t>
  </si>
  <si>
    <t>Requena</t>
  </si>
  <si>
    <t>Yaquerana</t>
  </si>
  <si>
    <t>Putumayo</t>
  </si>
  <si>
    <t>Rosa Panduro</t>
  </si>
  <si>
    <t>Teniente Manuel Clavero</t>
  </si>
  <si>
    <t>Yaguas</t>
  </si>
  <si>
    <t>Alto Tapiche</t>
  </si>
  <si>
    <t>Ucayali</t>
  </si>
  <si>
    <t>Coronel Portillo</t>
  </si>
  <si>
    <t>Callería</t>
  </si>
  <si>
    <t>Masisea</t>
  </si>
  <si>
    <t>Atalaya</t>
  </si>
  <si>
    <t>Yurúa</t>
  </si>
  <si>
    <t>Purús</t>
  </si>
  <si>
    <t>Cajamarca</t>
  </si>
  <si>
    <t>San Ignacio</t>
  </si>
  <si>
    <t>Huarango</t>
  </si>
  <si>
    <t>San José de Lourdes</t>
  </si>
  <si>
    <t>Namballe</t>
  </si>
  <si>
    <t>Piura</t>
  </si>
  <si>
    <t>Ayabaca</t>
  </si>
  <si>
    <t>Jililí</t>
  </si>
  <si>
    <t>Suyo</t>
  </si>
  <si>
    <t>Huancabamba</t>
  </si>
  <si>
    <t>El Carmen de la Frontera</t>
  </si>
  <si>
    <t>Sullana</t>
  </si>
  <si>
    <t>Lancones</t>
  </si>
  <si>
    <t>Tumbes</t>
  </si>
  <si>
    <t>Pampas de Hospital</t>
  </si>
  <si>
    <t>Zarumilla</t>
  </si>
  <si>
    <t>Aguas Verdes</t>
  </si>
  <si>
    <t>San Jacinto</t>
  </si>
  <si>
    <t>Matapalo</t>
  </si>
  <si>
    <t>Papayal</t>
  </si>
  <si>
    <t>La Yarada Los Palos</t>
  </si>
  <si>
    <t>TOTAL</t>
  </si>
  <si>
    <t>PERIODO: ENERO A NOVIEMBRE - 2025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</si>
  <si>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</si>
  <si>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</si>
  <si>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</si>
  <si>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</si>
  <si>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</si>
  <si>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</si>
  <si>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</si>
  <si>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</si>
  <si>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</si>
  <si>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</si>
  <si>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</si>
  <si>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</si>
  <si>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</si>
  <si>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</si>
  <si>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</si>
  <si>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</si>
  <si>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</si>
  <si>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</si>
  <si>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</si>
  <si>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</si>
  <si>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</si>
  <si>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</si>
  <si>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</si>
  <si>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</si>
  <si>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</si>
  <si>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LIMA DIRIS CENTRO</t>
  </si>
  <si>
    <t>LIMA DIRIS ESTE</t>
  </si>
  <si>
    <t>LIMA DIRIS NORTE</t>
  </si>
  <si>
    <t>LIMA DIRIS SUR</t>
  </si>
  <si>
    <t>LIMA PROVINCIAS</t>
  </si>
  <si>
    <t>BAGUA</t>
  </si>
  <si>
    <t>IMAZA</t>
  </si>
  <si>
    <t>CONDORCANQUI</t>
  </si>
  <si>
    <t>EL CENEPA</t>
  </si>
  <si>
    <t>RIO SANTIAGO</t>
  </si>
  <si>
    <t>SAN IGNACIO</t>
  </si>
  <si>
    <t>HUARANGO</t>
  </si>
  <si>
    <t>NAMBALLE</t>
  </si>
  <si>
    <t>SAN JOSE DE LOURDES</t>
  </si>
  <si>
    <t>DATEM DEL MARAÑON</t>
  </si>
  <si>
    <t>ANDOAS</t>
  </si>
  <si>
    <t>MORONA</t>
  </si>
  <si>
    <t>TIGRE</t>
  </si>
  <si>
    <t>TROMPETEROS</t>
  </si>
  <si>
    <t>MARISCAL RAMON CASTILLA</t>
  </si>
  <si>
    <t>RAMON CASTILLA</t>
  </si>
  <si>
    <t>YAVARI</t>
  </si>
  <si>
    <t>MAYNAS</t>
  </si>
  <si>
    <t>NAPO</t>
  </si>
  <si>
    <t>TORRES CAUSANA</t>
  </si>
  <si>
    <t>PUTUMAYO</t>
  </si>
  <si>
    <t>ROSA PANDURO</t>
  </si>
  <si>
    <t>TENIENTE MANUEL CLAVERO</t>
  </si>
  <si>
    <t>YAGUAS</t>
  </si>
  <si>
    <t>REQUENA</t>
  </si>
  <si>
    <t>ALTO TAPICHE</t>
  </si>
  <si>
    <t>YAQUERANA</t>
  </si>
  <si>
    <t>TAHUAMANU</t>
  </si>
  <si>
    <t>IBERIA</t>
  </si>
  <si>
    <t>IÑAPARI</t>
  </si>
  <si>
    <t>TAMBOPATA</t>
  </si>
  <si>
    <t>LAS PIEDRAS</t>
  </si>
  <si>
    <t>AYABACA</t>
  </si>
  <si>
    <t>JILILI</t>
  </si>
  <si>
    <t>SUYO</t>
  </si>
  <si>
    <t>HUANCABAMBA</t>
  </si>
  <si>
    <t>EL CARMEN DE LA FRONTERA</t>
  </si>
  <si>
    <t>SULLANA</t>
  </si>
  <si>
    <t>LANCONES</t>
  </si>
  <si>
    <t>CHUCUITO</t>
  </si>
  <si>
    <t>DESAGUADERO</t>
  </si>
  <si>
    <t>JULI</t>
  </si>
  <si>
    <t>KELLUYO</t>
  </si>
  <si>
    <t>PISACOMA</t>
  </si>
  <si>
    <t>POMATA</t>
  </si>
  <si>
    <t>ZEPITA</t>
  </si>
  <si>
    <t>EL COLLAO</t>
  </si>
  <si>
    <t>CAPAZO</t>
  </si>
  <si>
    <t>ILAVE</t>
  </si>
  <si>
    <t>PILCUYO</t>
  </si>
  <si>
    <t>HUANCANE</t>
  </si>
  <si>
    <t>COJATA</t>
  </si>
  <si>
    <t>PUSI</t>
  </si>
  <si>
    <t>TARACO</t>
  </si>
  <si>
    <t>VILQUE CHICO</t>
  </si>
  <si>
    <t>MOHO</t>
  </si>
  <si>
    <t>CONIMA</t>
  </si>
  <si>
    <t>HUAYRAPATA</t>
  </si>
  <si>
    <t>TILALI</t>
  </si>
  <si>
    <t>ACORA</t>
  </si>
  <si>
    <t>AMANTANI</t>
  </si>
  <si>
    <t>CAPACHICA</t>
  </si>
  <si>
    <t>COATA</t>
  </si>
  <si>
    <t>HUATA</t>
  </si>
  <si>
    <t>PAUCARCOLLA</t>
  </si>
  <si>
    <t>PLATERIA</t>
  </si>
  <si>
    <t>SAN ANTONIO DE PUTINA</t>
  </si>
  <si>
    <t>ANANEA</t>
  </si>
  <si>
    <t>SINA</t>
  </si>
  <si>
    <t>SANDIA</t>
  </si>
  <si>
    <t>SAN JUAN DEL ORO</t>
  </si>
  <si>
    <t>SAN PEDRO DE PUTINA PUNCO</t>
  </si>
  <si>
    <t>YANAHUAYA</t>
  </si>
  <si>
    <t>YUNGUYO</t>
  </si>
  <si>
    <t>ANAPIA</t>
  </si>
  <si>
    <t>COPANI</t>
  </si>
  <si>
    <t>CUTURAPI</t>
  </si>
  <si>
    <t>OLLARAYA</t>
  </si>
  <si>
    <t>TINICACHI</t>
  </si>
  <si>
    <t>UNICACHI</t>
  </si>
  <si>
    <t>LA YARADA LOS PALOS</t>
  </si>
  <si>
    <t>PALCA</t>
  </si>
  <si>
    <t>TARATA</t>
  </si>
  <si>
    <t>PAMPAS DE HOSPITAL</t>
  </si>
  <si>
    <t>SAN JACINTO</t>
  </si>
  <si>
    <t>ZARUMILLA</t>
  </si>
  <si>
    <t>AGUAS VERDES</t>
  </si>
  <si>
    <t>MATAPALO</t>
  </si>
  <si>
    <t>PAPAYAL</t>
  </si>
  <si>
    <t>ATALAYA</t>
  </si>
  <si>
    <t>YURUA</t>
  </si>
  <si>
    <t>CORONEL PORTILLO</t>
  </si>
  <si>
    <t>CALLERIA</t>
  </si>
  <si>
    <t>MASISEA</t>
  </si>
  <si>
    <t>PURUS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</si>
</sst>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i/>
      <sz val="8"/>
      <color theme="1"/>
      <name val="Arial Narrow"/>
      <family val="2"/>
    </font>
    <font>
      <b/>
      <sz val="10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b/>
      <sz val="11.5"/>
      <color theme="4" tint="-0.499984740745262"/>
      <name val="Arial Narrow"/>
      <family val="2"/>
    </font>
    <font>
      <i/>
      <sz val="10"/>
      <name val="Arial Narrow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/>
      <diagonal/>
    </border>
    <border>
      <left/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</borders>
  <cellStyleXfs count="15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6" fontId="2" fillId="0" borderId="20" xfId="1" applyNumberFormat="1" applyFont="1" applyFill="1" applyBorder="1" applyAlignment="1">
      <alignment horizontal="center" vertical="center"/>
    </xf>
    <xf numFmtId="166" fontId="2" fillId="0" borderId="21" xfId="1" applyNumberFormat="1" applyFont="1" applyFill="1" applyBorder="1" applyAlignment="1">
      <alignment horizontal="center" vertical="center"/>
    </xf>
    <xf numFmtId="166" fontId="2" fillId="0" borderId="25" xfId="1" applyNumberFormat="1" applyFont="1" applyFill="1" applyBorder="1" applyAlignment="1">
      <alignment horizontal="center" vertical="center"/>
    </xf>
    <xf numFmtId="166" fontId="7" fillId="3" borderId="23" xfId="1" applyNumberFormat="1" applyFont="1" applyFill="1" applyBorder="1" applyAlignment="1">
      <alignment horizontal="center" vertical="center"/>
    </xf>
    <xf numFmtId="165" fontId="2" fillId="0" borderId="24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166" fontId="2" fillId="0" borderId="24" xfId="1" applyNumberFormat="1" applyFont="1" applyFill="1" applyBorder="1" applyAlignment="1">
      <alignment horizontal="center" vertical="center"/>
    </xf>
    <xf numFmtId="166" fontId="2" fillId="0" borderId="18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7" fillId="3" borderId="5" xfId="1" applyNumberFormat="1" applyFont="1" applyFill="1" applyBorder="1" applyAlignment="1">
      <alignment horizontal="center" vertical="center"/>
    </xf>
    <xf numFmtId="165" fontId="2" fillId="0" borderId="13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2" fillId="0" borderId="19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5" fontId="7" fillId="3" borderId="6" xfId="1" applyNumberFormat="1" applyFont="1" applyFill="1" applyBorder="1" applyAlignment="1">
      <alignment horizontal="center" vertical="center"/>
    </xf>
    <xf numFmtId="165" fontId="7" fillId="3" borderId="12" xfId="1" applyNumberFormat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166" fontId="2" fillId="0" borderId="16" xfId="1" applyNumberFormat="1" applyFont="1" applyFill="1" applyBorder="1" applyAlignment="1">
      <alignment horizontal="center" vertical="center"/>
    </xf>
    <xf numFmtId="166" fontId="2" fillId="0" borderId="9" xfId="1" applyNumberFormat="1" applyFont="1" applyFill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0" borderId="27" xfId="0" applyBorder="1"/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66" fontId="2" fillId="0" borderId="21" xfId="1" applyNumberFormat="1" applyFont="1" applyFill="1" applyBorder="1" applyAlignment="1">
      <alignment horizontal="right" vertical="center"/>
    </xf>
    <xf numFmtId="166" fontId="2" fillId="0" borderId="18" xfId="1" applyNumberFormat="1" applyFont="1" applyFill="1" applyBorder="1" applyAlignment="1">
      <alignment horizontal="right" vertical="center"/>
    </xf>
    <xf numFmtId="165" fontId="2" fillId="0" borderId="18" xfId="1" applyNumberFormat="1" applyFont="1" applyFill="1" applyBorder="1" applyAlignment="1">
      <alignment horizontal="right" vertical="center"/>
    </xf>
    <xf numFmtId="166" fontId="2" fillId="0" borderId="16" xfId="1" applyNumberFormat="1" applyFont="1" applyFill="1" applyBorder="1" applyAlignment="1">
      <alignment horizontal="right" vertical="center"/>
    </xf>
    <xf numFmtId="165" fontId="2" fillId="0" borderId="17" xfId="1" applyNumberFormat="1" applyFont="1" applyFill="1" applyBorder="1" applyAlignment="1">
      <alignment horizontal="right" vertical="center"/>
    </xf>
    <xf numFmtId="165" fontId="2" fillId="0" borderId="19" xfId="1" applyNumberFormat="1" applyFont="1" applyFill="1" applyBorder="1" applyAlignment="1">
      <alignment horizontal="right" vertical="center"/>
    </xf>
    <xf numFmtId="166" fontId="16" fillId="0" borderId="21" xfId="1" applyNumberFormat="1" applyFont="1" applyFill="1" applyBorder="1" applyAlignment="1">
      <alignment horizontal="right" vertical="center"/>
    </xf>
    <xf numFmtId="166" fontId="16" fillId="0" borderId="18" xfId="1" applyNumberFormat="1" applyFont="1" applyFill="1" applyBorder="1" applyAlignment="1">
      <alignment horizontal="right" vertical="center"/>
    </xf>
    <xf numFmtId="165" fontId="16" fillId="0" borderId="17" xfId="1" applyNumberFormat="1" applyFont="1" applyFill="1" applyBorder="1" applyAlignment="1">
      <alignment horizontal="right" vertical="center"/>
    </xf>
    <xf numFmtId="165" fontId="16" fillId="0" borderId="18" xfId="1" applyNumberFormat="1" applyFont="1" applyFill="1" applyBorder="1" applyAlignment="1">
      <alignment horizontal="right" vertical="center"/>
    </xf>
    <xf numFmtId="166" fontId="16" fillId="0" borderId="16" xfId="1" applyNumberFormat="1" applyFont="1" applyFill="1" applyBorder="1" applyAlignment="1">
      <alignment horizontal="right" vertical="center"/>
    </xf>
    <xf numFmtId="165" fontId="16" fillId="0" borderId="19" xfId="1" applyNumberFormat="1" applyFont="1" applyFill="1" applyBorder="1" applyAlignment="1">
      <alignment horizontal="right" vertical="center"/>
    </xf>
    <xf numFmtId="166" fontId="7" fillId="3" borderId="12" xfId="1" applyNumberFormat="1" applyFont="1" applyFill="1" applyBorder="1" applyAlignment="1">
      <alignment horizontal="center" vertical="center"/>
    </xf>
    <xf numFmtId="166" fontId="7" fillId="3" borderId="5" xfId="1" applyNumberFormat="1" applyFont="1" applyFill="1" applyBorder="1" applyAlignment="1">
      <alignment vertical="center"/>
    </xf>
    <xf numFmtId="1" fontId="2" fillId="0" borderId="24" xfId="1" applyNumberFormat="1" applyFont="1" applyFill="1" applyBorder="1" applyAlignment="1">
      <alignment vertical="center"/>
    </xf>
    <xf numFmtId="1" fontId="2" fillId="0" borderId="18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66" fontId="16" fillId="0" borderId="21" xfId="1" applyNumberFormat="1" applyFont="1" applyFill="1" applyBorder="1" applyAlignment="1">
      <alignment horizontal="center" vertical="center"/>
    </xf>
    <xf numFmtId="166" fontId="16" fillId="0" borderId="18" xfId="1" applyNumberFormat="1" applyFont="1" applyFill="1" applyBorder="1" applyAlignment="1">
      <alignment horizontal="center" vertical="center"/>
    </xf>
    <xf numFmtId="165" fontId="16" fillId="0" borderId="17" xfId="1" applyNumberFormat="1" applyFont="1" applyFill="1" applyBorder="1" applyAlignment="1">
      <alignment horizontal="center" vertical="center"/>
    </xf>
    <xf numFmtId="165" fontId="16" fillId="0" borderId="18" xfId="1" applyNumberFormat="1" applyFont="1" applyFill="1" applyBorder="1" applyAlignment="1">
      <alignment horizontal="center" vertical="center"/>
    </xf>
    <xf numFmtId="166" fontId="16" fillId="0" borderId="16" xfId="1" applyNumberFormat="1" applyFont="1" applyFill="1" applyBorder="1" applyAlignment="1">
      <alignment horizontal="center" vertical="center"/>
    </xf>
    <xf numFmtId="165" fontId="16" fillId="0" borderId="19" xfId="1" applyNumberFormat="1" applyFont="1" applyFill="1" applyBorder="1" applyAlignment="1">
      <alignment horizontal="center" vertical="center"/>
    </xf>
    <xf numFmtId="166" fontId="7" fillId="3" borderId="4" xfId="1" applyNumberFormat="1" applyFont="1" applyFill="1" applyBorder="1" applyAlignment="1">
      <alignment vertical="center"/>
    </xf>
    <xf numFmtId="166" fontId="7" fillId="3" borderId="6" xfId="1" applyNumberFormat="1" applyFont="1" applyFill="1" applyBorder="1" applyAlignment="1">
      <alignment vertical="center"/>
    </xf>
    <xf numFmtId="166" fontId="6" fillId="2" borderId="0" xfId="0" applyNumberFormat="1" applyFont="1" applyFill="1" applyAlignment="1">
      <alignment horizontal="left" vertical="center"/>
    </xf>
    <xf numFmtId="0" fontId="15" fillId="5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</cellXfs>
  <cellStyles count="15">
    <cellStyle name="Millares" xfId="1" builtinId="3"/>
    <cellStyle name="Normal" xfId="0" builtinId="0"/>
    <cellStyle name="style1604094413559" xfId="5" xr:uid="{E8A21D98-6CE1-4F8E-812B-F273B2944D71}"/>
    <cellStyle name="style1604094413623" xfId="6" xr:uid="{B2A0AEBA-08EA-4658-A6F5-F77EA66900F1}"/>
    <cellStyle name="style1604094413662" xfId="9" xr:uid="{70C3EFF9-957B-4A4E-B5B3-F067ADC1D727}"/>
    <cellStyle name="style1604094413722" xfId="3" xr:uid="{B084D519-DAA0-4861-A1CC-F16872872641}"/>
    <cellStyle name="style1604094414248" xfId="2" xr:uid="{7DC07CC4-E887-4CD1-95E5-1E9D8F580537}"/>
    <cellStyle name="style1604094414334" xfId="4" xr:uid="{9B1C4A27-4563-47DF-80BF-716F0DE8B898}"/>
    <cellStyle name="style1604094414383" xfId="8" xr:uid="{9B8038FE-B3AA-4CBE-9CF8-AE322DAFE8DB}"/>
    <cellStyle name="style1604094414404" xfId="10" xr:uid="{2092F3BF-9D29-48CE-97C7-667B2A28D148}"/>
    <cellStyle name="style1604094415581" xfId="7" xr:uid="{FD3AB0BF-F578-40F8-BF96-5AB8695CB006}"/>
    <cellStyle name="style1633460442369" xfId="11" xr:uid="{927BC690-045E-4217-B324-87BEA7EF092E}"/>
    <cellStyle name="style1633460442736" xfId="12" xr:uid="{699EC106-2D26-4EA7-9BAF-20176AD76030}"/>
    <cellStyle name="style1633460442865" xfId="14" xr:uid="{E6738BDA-C76C-4BE1-AAAE-5EF471E3F556}"/>
    <cellStyle name="style1633460444108" xfId="13" xr:uid="{ACE5F2AC-4B14-4DBD-9E2E-7E03AE3ADB9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689D"/>
      <color rgb="FFF4C9DB"/>
      <color rgb="FFFDE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C16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C17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C18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ICIO!C18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ICIO!C19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ICIO!C20"/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ICIO!C21"/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ICIO!C18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C10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C11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C12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C12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C13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C14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C15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C12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9525</xdr:rowOff>
    </xdr:from>
    <xdr:to>
      <xdr:col>9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9525</xdr:rowOff>
    </xdr:from>
    <xdr:to>
      <xdr:col>9</xdr:col>
      <xdr:colOff>138430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1085850</xdr:colOff>
      <xdr:row>1</xdr:row>
      <xdr:rowOff>9525</xdr:rowOff>
    </xdr:from>
    <xdr:to>
      <xdr:col>10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AD024CE5-F4DC-47D8-B502-8D71E72FC7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9F4240-BED9-4AA7-A531-EF7280A55AD3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9525</xdr:rowOff>
    </xdr:from>
    <xdr:to>
      <xdr:col>9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9525</xdr:rowOff>
    </xdr:from>
    <xdr:to>
      <xdr:col>9</xdr:col>
      <xdr:colOff>138430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1085850</xdr:colOff>
      <xdr:row>1</xdr:row>
      <xdr:rowOff>9525</xdr:rowOff>
    </xdr:from>
    <xdr:to>
      <xdr:col>10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BFC19922-AC6E-43B6-A19B-9C08B2134F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391CA5-3440-4DA1-8393-C76C77594731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7" name="Picture 2" descr="EncabezadoMinisteriodeSalu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9525</xdr:rowOff>
    </xdr:from>
    <xdr:to>
      <xdr:col>15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302ABB7F-E78A-4A7F-873D-04A359A658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F2D7C1-D645-4BD6-BF15-F33472ADB838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9525</xdr:rowOff>
    </xdr:from>
    <xdr:to>
      <xdr:col>15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E026C086-A900-4A2C-95CA-F55C34A38A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B1F4FD-50D5-4D2B-8981-025B97377805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B1:L31"/>
  <sheetViews>
    <sheetView showGridLines="0" workbookViewId="0">
      <selection activeCell="C18" sqref="C18"/>
    </sheetView>
  </sheetViews>
  <sheetFormatPr baseColWidth="10" defaultColWidth="14.28515625" defaultRowHeight="30" customHeight="1" x14ac:dyDescent="0.25"/>
  <cols>
    <col min="1" max="1" width="6.7109375" style="45" customWidth="1"/>
    <col min="2" max="2" width="17.7109375" style="45" customWidth="1"/>
    <col min="3" max="3" width="8.7109375" style="45" customWidth="1"/>
    <col min="4" max="10" width="14.28515625" style="45"/>
    <col min="11" max="11" width="28" style="45" customWidth="1"/>
    <col min="12" max="12" width="17.7109375" style="45" customWidth="1"/>
    <col min="13" max="16384" width="14.28515625" style="45"/>
  </cols>
  <sheetData>
    <row r="1" spans="2:12" ht="30" customHeight="1" thickBot="1" x14ac:dyDescent="0.3"/>
    <row r="2" spans="2:12" ht="30" customHeight="1" thickTop="1" x14ac:dyDescent="0.25">
      <c r="B2" s="46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2:12" ht="30" customHeight="1" x14ac:dyDescent="0.25">
      <c r="B3" s="49"/>
      <c r="C3" s="86" t="s">
        <v>23</v>
      </c>
      <c r="D3" s="86"/>
      <c r="E3" s="86"/>
      <c r="F3" s="50"/>
      <c r="G3" s="86" t="s">
        <v>24</v>
      </c>
      <c r="H3" s="86"/>
      <c r="I3" s="86"/>
      <c r="J3" s="86"/>
      <c r="K3" s="86"/>
      <c r="L3" s="51"/>
    </row>
    <row r="4" spans="2:12" ht="30" customHeight="1" x14ac:dyDescent="0.25">
      <c r="B4" s="49"/>
      <c r="C4" s="87" t="s">
        <v>25</v>
      </c>
      <c r="D4" s="87"/>
      <c r="E4" s="87"/>
      <c r="F4" s="50"/>
      <c r="G4" s="87" t="s">
        <v>26</v>
      </c>
      <c r="H4" s="87"/>
      <c r="I4" s="87"/>
      <c r="J4" s="87"/>
      <c r="K4" s="87"/>
      <c r="L4" s="51"/>
    </row>
    <row r="5" spans="2:12" ht="30" customHeight="1" x14ac:dyDescent="0.25">
      <c r="B5" s="52"/>
      <c r="C5" s="50"/>
      <c r="D5" s="50"/>
      <c r="E5" s="50"/>
      <c r="F5" s="50"/>
      <c r="G5" s="50"/>
      <c r="H5" s="50"/>
      <c r="I5" s="50"/>
      <c r="J5" s="50"/>
      <c r="K5" s="50"/>
      <c r="L5" s="51"/>
    </row>
    <row r="6" spans="2:12" ht="30" customHeight="1" x14ac:dyDescent="0.25">
      <c r="B6" s="49"/>
      <c r="C6" s="88" t="s">
        <v>42</v>
      </c>
      <c r="D6" s="88"/>
      <c r="E6" s="88"/>
      <c r="F6" s="88"/>
      <c r="G6" s="88"/>
      <c r="H6" s="88"/>
      <c r="I6" s="88"/>
      <c r="J6" s="88"/>
      <c r="K6" s="88"/>
      <c r="L6" s="51"/>
    </row>
    <row r="7" spans="2:12" ht="30" customHeight="1" x14ac:dyDescent="0.25">
      <c r="B7" s="49"/>
      <c r="C7" s="88" t="s">
        <v>35</v>
      </c>
      <c r="D7" s="88"/>
      <c r="E7" s="88"/>
      <c r="F7" s="88"/>
      <c r="G7" s="88"/>
      <c r="H7" s="88"/>
      <c r="I7" s="88"/>
      <c r="J7" s="88"/>
      <c r="K7" s="88"/>
      <c r="L7" s="51"/>
    </row>
    <row r="8" spans="2:12" ht="30" customHeight="1" x14ac:dyDescent="0.25">
      <c r="B8" s="49"/>
      <c r="C8" s="88" t="s">
        <v>177</v>
      </c>
      <c r="D8" s="88"/>
      <c r="E8" s="88"/>
      <c r="F8" s="88"/>
      <c r="G8" s="88"/>
      <c r="H8" s="88"/>
      <c r="I8" s="88"/>
      <c r="J8" s="88"/>
      <c r="K8" s="88"/>
      <c r="L8" s="51"/>
    </row>
    <row r="9" spans="2:12" ht="30" customHeight="1" x14ac:dyDescent="0.25">
      <c r="B9" s="49"/>
      <c r="C9" s="50"/>
      <c r="D9" s="50"/>
      <c r="E9" s="50"/>
      <c r="F9" s="50"/>
      <c r="G9" s="50"/>
      <c r="H9" s="50"/>
      <c r="I9" s="50"/>
      <c r="J9" s="50"/>
      <c r="K9" s="50"/>
      <c r="L9" s="51"/>
    </row>
    <row r="10" spans="2:12" ht="30" customHeight="1" x14ac:dyDescent="0.25">
      <c r="B10" s="49"/>
      <c r="C10" s="56">
        <v>1</v>
      </c>
      <c r="D10" s="84" t="s">
        <v>27</v>
      </c>
      <c r="E10" s="84"/>
      <c r="F10" s="84"/>
      <c r="G10" s="84"/>
      <c r="H10" s="84"/>
      <c r="I10" s="84"/>
      <c r="J10" s="84"/>
      <c r="K10" s="84"/>
      <c r="L10" s="51"/>
    </row>
    <row r="11" spans="2:12" ht="30" customHeight="1" x14ac:dyDescent="0.25">
      <c r="B11" s="49"/>
      <c r="C11" s="57">
        <v>2</v>
      </c>
      <c r="D11" s="85" t="s">
        <v>28</v>
      </c>
      <c r="E11" s="85"/>
      <c r="F11" s="85"/>
      <c r="G11" s="85"/>
      <c r="H11" s="85"/>
      <c r="I11" s="85"/>
      <c r="J11" s="85"/>
      <c r="K11" s="85"/>
      <c r="L11" s="51"/>
    </row>
    <row r="12" spans="2:12" ht="30" customHeight="1" x14ac:dyDescent="0.25">
      <c r="B12" s="49"/>
      <c r="C12" s="56">
        <v>3</v>
      </c>
      <c r="D12" s="84" t="s">
        <v>37</v>
      </c>
      <c r="E12" s="84"/>
      <c r="F12" s="84"/>
      <c r="G12" s="84"/>
      <c r="H12" s="84"/>
      <c r="I12" s="84"/>
      <c r="J12" s="84"/>
      <c r="K12" s="84"/>
      <c r="L12" s="51"/>
    </row>
    <row r="13" spans="2:12" ht="30" customHeight="1" x14ac:dyDescent="0.25">
      <c r="B13" s="49"/>
      <c r="C13" s="57">
        <v>4</v>
      </c>
      <c r="D13" s="85" t="s">
        <v>51</v>
      </c>
      <c r="E13" s="85"/>
      <c r="F13" s="85"/>
      <c r="G13" s="85"/>
      <c r="H13" s="85"/>
      <c r="I13" s="85"/>
      <c r="J13" s="85"/>
      <c r="K13" s="85"/>
      <c r="L13" s="51"/>
    </row>
    <row r="14" spans="2:12" ht="30" customHeight="1" x14ac:dyDescent="0.25">
      <c r="B14" s="49"/>
      <c r="C14" s="56">
        <v>5</v>
      </c>
      <c r="D14" s="84" t="s">
        <v>29</v>
      </c>
      <c r="E14" s="84"/>
      <c r="F14" s="84"/>
      <c r="G14" s="84"/>
      <c r="H14" s="84"/>
      <c r="I14" s="84"/>
      <c r="J14" s="84"/>
      <c r="K14" s="84"/>
      <c r="L14" s="51"/>
    </row>
    <row r="15" spans="2:12" ht="30" customHeight="1" x14ac:dyDescent="0.25">
      <c r="B15" s="49"/>
      <c r="C15" s="57">
        <v>6</v>
      </c>
      <c r="D15" s="85" t="s">
        <v>30</v>
      </c>
      <c r="E15" s="85"/>
      <c r="F15" s="85"/>
      <c r="G15" s="85"/>
      <c r="H15" s="85"/>
      <c r="I15" s="85"/>
      <c r="J15" s="85"/>
      <c r="K15" s="85"/>
      <c r="L15" s="51"/>
    </row>
    <row r="16" spans="2:12" ht="30" customHeight="1" x14ac:dyDescent="0.25">
      <c r="B16" s="49"/>
      <c r="C16" s="56">
        <v>7</v>
      </c>
      <c r="D16" s="84" t="s">
        <v>38</v>
      </c>
      <c r="E16" s="84"/>
      <c r="F16" s="84"/>
      <c r="G16" s="84"/>
      <c r="H16" s="84"/>
      <c r="I16" s="84"/>
      <c r="J16" s="84"/>
      <c r="K16" s="84"/>
      <c r="L16" s="51"/>
    </row>
    <row r="17" spans="2:12" ht="30" customHeight="1" x14ac:dyDescent="0.25">
      <c r="B17" s="49"/>
      <c r="C17" s="57">
        <v>8</v>
      </c>
      <c r="D17" s="85" t="s">
        <v>52</v>
      </c>
      <c r="E17" s="85"/>
      <c r="F17" s="85"/>
      <c r="G17" s="85"/>
      <c r="H17" s="85"/>
      <c r="I17" s="85"/>
      <c r="J17" s="85"/>
      <c r="K17" s="85"/>
      <c r="L17" s="51"/>
    </row>
    <row r="18" spans="2:12" ht="30" customHeight="1" x14ac:dyDescent="0.25">
      <c r="B18" s="49"/>
      <c r="C18" s="56">
        <v>9</v>
      </c>
      <c r="D18" s="84" t="s">
        <v>31</v>
      </c>
      <c r="E18" s="84"/>
      <c r="F18" s="84"/>
      <c r="G18" s="84"/>
      <c r="H18" s="84"/>
      <c r="I18" s="84"/>
      <c r="J18" s="84"/>
      <c r="K18" s="84"/>
      <c r="L18" s="51"/>
    </row>
    <row r="19" spans="2:12" ht="30" customHeight="1" x14ac:dyDescent="0.25">
      <c r="B19" s="49"/>
      <c r="C19" s="57">
        <v>10</v>
      </c>
      <c r="D19" s="85" t="s">
        <v>32</v>
      </c>
      <c r="E19" s="85"/>
      <c r="F19" s="85"/>
      <c r="G19" s="85"/>
      <c r="H19" s="85"/>
      <c r="I19" s="85"/>
      <c r="J19" s="85"/>
      <c r="K19" s="85"/>
      <c r="L19" s="51"/>
    </row>
    <row r="20" spans="2:12" ht="30" customHeight="1" x14ac:dyDescent="0.25">
      <c r="B20" s="49"/>
      <c r="C20" s="56">
        <v>11</v>
      </c>
      <c r="D20" s="84" t="s">
        <v>39</v>
      </c>
      <c r="E20" s="84"/>
      <c r="F20" s="84"/>
      <c r="G20" s="84"/>
      <c r="H20" s="84"/>
      <c r="I20" s="84"/>
      <c r="J20" s="84"/>
      <c r="K20" s="84"/>
      <c r="L20" s="51"/>
    </row>
    <row r="21" spans="2:12" ht="30" customHeight="1" x14ac:dyDescent="0.25">
      <c r="B21" s="49"/>
      <c r="C21" s="57">
        <v>12</v>
      </c>
      <c r="D21" s="85" t="s">
        <v>53</v>
      </c>
      <c r="E21" s="85"/>
      <c r="F21" s="85"/>
      <c r="G21" s="85"/>
      <c r="H21" s="85"/>
      <c r="I21" s="85"/>
      <c r="J21" s="85"/>
      <c r="K21" s="85"/>
      <c r="L21" s="51"/>
    </row>
    <row r="22" spans="2:12" ht="30" customHeight="1" x14ac:dyDescent="0.25">
      <c r="B22" s="49"/>
      <c r="C22" s="56">
        <v>13</v>
      </c>
      <c r="D22" s="84" t="s">
        <v>33</v>
      </c>
      <c r="E22" s="84"/>
      <c r="F22" s="84"/>
      <c r="G22" s="84"/>
      <c r="H22" s="84"/>
      <c r="I22" s="84"/>
      <c r="J22" s="84"/>
      <c r="K22" s="84"/>
      <c r="L22" s="51"/>
    </row>
    <row r="23" spans="2:12" ht="30" customHeight="1" x14ac:dyDescent="0.25">
      <c r="B23" s="49"/>
      <c r="C23" s="57">
        <v>14</v>
      </c>
      <c r="D23" s="85" t="s">
        <v>34</v>
      </c>
      <c r="E23" s="85"/>
      <c r="F23" s="85"/>
      <c r="G23" s="85"/>
      <c r="H23" s="85"/>
      <c r="I23" s="85"/>
      <c r="J23" s="85"/>
      <c r="K23" s="85"/>
      <c r="L23" s="51"/>
    </row>
    <row r="24" spans="2:12" ht="30" customHeight="1" x14ac:dyDescent="0.25">
      <c r="B24" s="49"/>
      <c r="C24" s="56">
        <v>15</v>
      </c>
      <c r="D24" s="84" t="s">
        <v>40</v>
      </c>
      <c r="E24" s="84"/>
      <c r="F24" s="84"/>
      <c r="G24" s="84"/>
      <c r="H24" s="84"/>
      <c r="I24" s="84"/>
      <c r="J24" s="84"/>
      <c r="K24" s="84"/>
      <c r="L24" s="51"/>
    </row>
    <row r="25" spans="2:12" ht="30" customHeight="1" x14ac:dyDescent="0.25">
      <c r="B25" s="49"/>
      <c r="C25" s="57">
        <v>16</v>
      </c>
      <c r="D25" s="85" t="s">
        <v>54</v>
      </c>
      <c r="E25" s="85"/>
      <c r="F25" s="85"/>
      <c r="G25" s="85"/>
      <c r="H25" s="85"/>
      <c r="I25" s="85"/>
      <c r="J25" s="85"/>
      <c r="K25" s="85"/>
      <c r="L25" s="51"/>
    </row>
    <row r="26" spans="2:12" ht="30" customHeight="1" x14ac:dyDescent="0.25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1"/>
    </row>
    <row r="27" spans="2:12" ht="30" customHeight="1" x14ac:dyDescent="0.25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2:12" ht="30" customHeight="1" x14ac:dyDescent="0.2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2:12" ht="30" customHeight="1" x14ac:dyDescent="0.2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1"/>
    </row>
    <row r="30" spans="2:12" ht="30" customHeight="1" thickBot="1" x14ac:dyDescent="0.3"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5"/>
    </row>
    <row r="31" spans="2:12" ht="30" customHeight="1" thickTop="1" x14ac:dyDescent="0.25"/>
  </sheetData>
  <mergeCells count="23">
    <mergeCell ref="D15:K15"/>
    <mergeCell ref="C3:E3"/>
    <mergeCell ref="G3:K3"/>
    <mergeCell ref="C4:E4"/>
    <mergeCell ref="G4:K4"/>
    <mergeCell ref="C6:K6"/>
    <mergeCell ref="C7:K7"/>
    <mergeCell ref="C8:K8"/>
    <mergeCell ref="D10:K10"/>
    <mergeCell ref="D11:K11"/>
    <mergeCell ref="D12:K12"/>
    <mergeCell ref="D14:K14"/>
    <mergeCell ref="D13:K13"/>
    <mergeCell ref="D24:K24"/>
    <mergeCell ref="D16:K16"/>
    <mergeCell ref="D22:K22"/>
    <mergeCell ref="D23:K23"/>
    <mergeCell ref="D25:K25"/>
    <mergeCell ref="D17:K17"/>
    <mergeCell ref="D21:K21"/>
    <mergeCell ref="D18:K18"/>
    <mergeCell ref="D19:K19"/>
    <mergeCell ref="D20:K20"/>
  </mergeCells>
  <hyperlinks>
    <hyperlink ref="D10:K10" location="'EN 0-35m x DEP'!A1" display="ESTADO NUTRICIONAL EN NIÑOS MENORES DE 3 AÑOS SEGÚN DEPARTAMENTO DEL ESTABLECIMIENTO DE SALUD" xr:uid="{00000000-0004-0000-0000-000000000000}"/>
    <hyperlink ref="D11:K11" location="'EN 0-35m x DIRESA'!A1" display="ESTADO NUTRICIONAL EN NIÑOS MENORES DE 3 AÑOS SEGÚN DIRESA/GERESA/DIRIS" xr:uid="{00000000-0004-0000-0000-000001000000}"/>
    <hyperlink ref="D12:K12" location="'EN 0-35m x DISTRITO'!A1" display="ESTADO NUTRICIONAL EN NIÑOS MENORES DE 3 AÑOS SEGÚN DEPARTAMENTO/PROVINCIA/DISTRITO DE ORIGEN DEL NIÑO" xr:uid="{00000000-0004-0000-0000-000002000000}"/>
    <hyperlink ref="D14:K14" location="'EN 0-59m x DEP'!A1" display="ESTADO NUTRICIONAL EN NIÑOS MENORES DE 5 AÑOS SEGÚN DEPARTAMENTO DEL ESTABLECIMIENTO DE SALUD" xr:uid="{00000000-0004-0000-0000-000003000000}"/>
    <hyperlink ref="D15:K15" location="'EN 0-59m x DIRESA'!A1" display="ESTADO NUTRICIONAL EN NIÑOS MENORES DE 5 AÑOS SEGÚN DIRESA/GERESA/DIRIS" xr:uid="{00000000-0004-0000-0000-000004000000}"/>
    <hyperlink ref="D16:K16" location="'EN 0-59m x DISTRITO'!A1" display="ESTADO NUTRICIONAL EN NIÑOS MENORES DE 5 AÑOS SEGÚN DEPARTAMENTO/PROVINCIA/DISTRITO DE ORIGEN DEL NIÑO" xr:uid="{00000000-0004-0000-0000-000005000000}"/>
    <hyperlink ref="D18:K18" location="'Anemia 6-35m x DEP'!A1" display="ANEMIA EN NIÑOS ENTRE 6 A 35 MESES SEGÚN DEPARTAMENTO DEL ESTABLECIMIENTO DE SALUD" xr:uid="{00000000-0004-0000-0000-000006000000}"/>
    <hyperlink ref="D19:K19" location="'Anemia 6-35m x DIRESA'!A1" display="ANEMIA EN NIÑOS ENTRE 6 A 35 MESES SEGÚN DIRESA/GERESA/DIRIS" xr:uid="{00000000-0004-0000-0000-000007000000}"/>
    <hyperlink ref="D20:K20" location="'Anemia 6-35m x DISTRITO'!A1" display="ANEMIA EN NIÑOS ENTRE 6 A 35 MESES SEGÚN DEPARTAMENTO/PROVINCIA/DISTRITO DE ORIGEN DEL NIÑO" xr:uid="{00000000-0004-0000-0000-000008000000}"/>
    <hyperlink ref="D22:K22" location="'Anemia 6-59m x DEP'!A1" display="ANEMIA EN NIÑOS ENTRE 6 A 59 MESES SEGÚN DEPARTAMENTO DEL ESTABLECIMIENTO DE SALUD" xr:uid="{00000000-0004-0000-0000-000009000000}"/>
    <hyperlink ref="D23:K23" location="'Anemia 6-59m x DIRESA'!A1" display="ANEMIA EN NIÑOS ENTRE 6 A 59 MESES SEGÚN DIRESA/GERESA/DIRIS" xr:uid="{00000000-0004-0000-0000-00000A000000}"/>
    <hyperlink ref="D24:K24" location="'Anemia 6-59m x DISTRITO'!A1" display="ANEMIA EN NIÑOS ENTRE 6 A 59 MESES SEGÚN DEPARTAMENTO/PROVINCIA/DISTRITO DE ORIGEN DEL NIÑO" xr:uid="{00000000-0004-0000-0000-00000B000000}"/>
    <hyperlink ref="D13:K13" location="'EN 0-35m x DISTR ZONA'!A1" display="ESTADO NUTRICIONAL EN NIÑOS MENORES DE 3 AÑOS SEGÚN ZONA DEPARTAMENTO/PROVINCIA/DISTRITO DEL ESTABLECIMIENTO DE SALUD" xr:uid="{B6B23A77-5A46-4A51-ADCD-CA0715AF4D08}"/>
    <hyperlink ref="D17:K17" location="'EN 0-59m x DISTR ZONA'!A1" display="ESTADO NUTRICIONAL EN NIÑOS MENORES DE 5 AÑOS SEGÚN ZONA/DEPARTAMENTO/PROVINCIA/DISTRITO DEL ESTABLECIMIENTO DE SALUD" xr:uid="{78F66A1E-8202-416F-9BA3-12C2DF8AFE4B}"/>
    <hyperlink ref="D21:K21" location="'Anemia 6-35m x DISTR ZONA'!A1" display="ANEMIA EN NIÑOS ENTRE 6 A 35 MESES SEGÚN ZONA/DEPARTAMENTO/PROVINCIA/DISTRITO DEL ESTABLECIMIENTO DE SALUD" xr:uid="{302CD06A-C0EA-4327-A995-98449FFA50D1}"/>
    <hyperlink ref="D25:K25" location="'Anemia 6-59m x DISTR ZONA'!A1" display="ANEMIA EN NIÑOS ENTRE 6 A 59 MESES SEGÚN ZONA/DEPARTAMENTO/PROVINCIA/DISTRITO DEL ESTABLECIMIENTO DE SALUD" xr:uid="{86470360-F989-494C-9D65-93091D4E3BA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0070C0"/>
  </sheetPr>
  <dimension ref="B2:K34"/>
  <sheetViews>
    <sheetView showGridLines="0" zoomScaleNormal="100" workbookViewId="0">
      <selection activeCell="B7" sqref="B7:K3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89" t="s">
        <v>60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5" customHeight="1" thickBot="1" x14ac:dyDescent="0.3"/>
    <row r="5" spans="2:11" ht="15" customHeight="1" thickBot="1" x14ac:dyDescent="0.3">
      <c r="B5" s="101" t="s">
        <v>0</v>
      </c>
      <c r="C5" s="91" t="s">
        <v>10</v>
      </c>
      <c r="D5" s="91" t="s">
        <v>8</v>
      </c>
      <c r="E5" s="91"/>
      <c r="F5" s="94" t="s">
        <v>17</v>
      </c>
      <c r="G5" s="91"/>
      <c r="H5" s="91" t="s">
        <v>18</v>
      </c>
      <c r="I5" s="91"/>
      <c r="J5" s="91" t="s">
        <v>19</v>
      </c>
      <c r="K5" s="91"/>
    </row>
    <row r="6" spans="2:11" ht="15" customHeight="1" thickBot="1" x14ac:dyDescent="0.3">
      <c r="B6" s="101"/>
      <c r="C6" s="91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4" t="s">
        <v>178</v>
      </c>
      <c r="C7" s="40">
        <v>6448</v>
      </c>
      <c r="D7" s="36">
        <v>931</v>
      </c>
      <c r="E7" s="28">
        <v>14.438585607940446</v>
      </c>
      <c r="F7" s="26">
        <v>709</v>
      </c>
      <c r="G7" s="22">
        <v>10.995657568238213</v>
      </c>
      <c r="H7" s="36">
        <v>218</v>
      </c>
      <c r="I7" s="29">
        <v>3.3808933002481387</v>
      </c>
      <c r="J7" s="26">
        <v>4</v>
      </c>
      <c r="K7" s="32">
        <v>6.2034739454094302E-2</v>
      </c>
    </row>
    <row r="8" spans="2:11" ht="15" customHeight="1" x14ac:dyDescent="0.25">
      <c r="B8" s="5" t="s">
        <v>179</v>
      </c>
      <c r="C8" s="41">
        <v>0</v>
      </c>
      <c r="D8" s="37">
        <v>0</v>
      </c>
      <c r="E8" s="30">
        <v>0</v>
      </c>
      <c r="F8" s="25">
        <v>0</v>
      </c>
      <c r="G8" s="21">
        <v>0</v>
      </c>
      <c r="H8" s="37">
        <v>0</v>
      </c>
      <c r="I8" s="31">
        <v>0</v>
      </c>
      <c r="J8" s="25">
        <v>0</v>
      </c>
      <c r="K8" s="30">
        <v>0</v>
      </c>
    </row>
    <row r="9" spans="2:11" ht="15" customHeight="1" x14ac:dyDescent="0.25">
      <c r="B9" s="5" t="s">
        <v>180</v>
      </c>
      <c r="C9" s="41">
        <v>0</v>
      </c>
      <c r="D9" s="37">
        <v>0</v>
      </c>
      <c r="E9" s="30">
        <v>0</v>
      </c>
      <c r="F9" s="25">
        <v>0</v>
      </c>
      <c r="G9" s="21">
        <v>0</v>
      </c>
      <c r="H9" s="37">
        <v>0</v>
      </c>
      <c r="I9" s="31">
        <v>0</v>
      </c>
      <c r="J9" s="25">
        <v>0</v>
      </c>
      <c r="K9" s="30">
        <v>0</v>
      </c>
    </row>
    <row r="10" spans="2:11" ht="15" customHeight="1" x14ac:dyDescent="0.25">
      <c r="B10" s="5" t="s">
        <v>181</v>
      </c>
      <c r="C10" s="41">
        <v>0</v>
      </c>
      <c r="D10" s="37">
        <v>0</v>
      </c>
      <c r="E10" s="30">
        <v>0</v>
      </c>
      <c r="F10" s="25">
        <v>0</v>
      </c>
      <c r="G10" s="21">
        <v>0</v>
      </c>
      <c r="H10" s="37">
        <v>0</v>
      </c>
      <c r="I10" s="31">
        <v>0</v>
      </c>
      <c r="J10" s="25">
        <v>0</v>
      </c>
      <c r="K10" s="30">
        <v>0</v>
      </c>
    </row>
    <row r="11" spans="2:11" ht="15" customHeight="1" x14ac:dyDescent="0.25">
      <c r="B11" s="5" t="s">
        <v>182</v>
      </c>
      <c r="C11" s="41">
        <v>0</v>
      </c>
      <c r="D11" s="37">
        <v>0</v>
      </c>
      <c r="E11" s="30">
        <v>0</v>
      </c>
      <c r="F11" s="25">
        <v>0</v>
      </c>
      <c r="G11" s="21">
        <v>0</v>
      </c>
      <c r="H11" s="37">
        <v>0</v>
      </c>
      <c r="I11" s="31">
        <v>0</v>
      </c>
      <c r="J11" s="25">
        <v>0</v>
      </c>
      <c r="K11" s="30">
        <v>0</v>
      </c>
    </row>
    <row r="12" spans="2:11" ht="15" customHeight="1" x14ac:dyDescent="0.25">
      <c r="B12" s="5" t="s">
        <v>183</v>
      </c>
      <c r="C12" s="41">
        <v>3196</v>
      </c>
      <c r="D12" s="37">
        <v>494</v>
      </c>
      <c r="E12" s="30">
        <v>15.456821026282855</v>
      </c>
      <c r="F12" s="25">
        <v>413</v>
      </c>
      <c r="G12" s="21">
        <v>12.922403003754694</v>
      </c>
      <c r="H12" s="37">
        <v>79</v>
      </c>
      <c r="I12" s="31">
        <v>2.471839799749687</v>
      </c>
      <c r="J12" s="25">
        <v>2</v>
      </c>
      <c r="K12" s="30">
        <v>6.2578222778473094E-2</v>
      </c>
    </row>
    <row r="13" spans="2:11" ht="15" customHeight="1" x14ac:dyDescent="0.25">
      <c r="B13" s="5" t="s">
        <v>184</v>
      </c>
      <c r="C13" s="41">
        <v>0</v>
      </c>
      <c r="D13" s="37">
        <v>0</v>
      </c>
      <c r="E13" s="30">
        <v>0</v>
      </c>
      <c r="F13" s="25">
        <v>0</v>
      </c>
      <c r="G13" s="21">
        <v>0</v>
      </c>
      <c r="H13" s="37">
        <v>0</v>
      </c>
      <c r="I13" s="31">
        <v>0</v>
      </c>
      <c r="J13" s="25">
        <v>0</v>
      </c>
      <c r="K13" s="30">
        <v>0</v>
      </c>
    </row>
    <row r="14" spans="2:11" ht="15" customHeight="1" x14ac:dyDescent="0.25">
      <c r="B14" s="5" t="s">
        <v>185</v>
      </c>
      <c r="C14" s="41">
        <v>0</v>
      </c>
      <c r="D14" s="37">
        <v>0</v>
      </c>
      <c r="E14" s="30">
        <v>0</v>
      </c>
      <c r="F14" s="25">
        <v>0</v>
      </c>
      <c r="G14" s="21">
        <v>0</v>
      </c>
      <c r="H14" s="37">
        <v>0</v>
      </c>
      <c r="I14" s="31">
        <v>0</v>
      </c>
      <c r="J14" s="25">
        <v>0</v>
      </c>
      <c r="K14" s="30">
        <v>0</v>
      </c>
    </row>
    <row r="15" spans="2:11" ht="15" customHeight="1" x14ac:dyDescent="0.25">
      <c r="B15" s="5" t="s">
        <v>186</v>
      </c>
      <c r="C15" s="41">
        <v>0</v>
      </c>
      <c r="D15" s="37">
        <v>0</v>
      </c>
      <c r="E15" s="30">
        <v>0</v>
      </c>
      <c r="F15" s="25">
        <v>0</v>
      </c>
      <c r="G15" s="21">
        <v>0</v>
      </c>
      <c r="H15" s="37">
        <v>0</v>
      </c>
      <c r="I15" s="31">
        <v>0</v>
      </c>
      <c r="J15" s="25">
        <v>0</v>
      </c>
      <c r="K15" s="30">
        <v>0</v>
      </c>
    </row>
    <row r="16" spans="2:11" ht="15" customHeight="1" x14ac:dyDescent="0.25">
      <c r="B16" s="5" t="s">
        <v>187</v>
      </c>
      <c r="C16" s="41">
        <v>0</v>
      </c>
      <c r="D16" s="37">
        <v>0</v>
      </c>
      <c r="E16" s="30">
        <v>0</v>
      </c>
      <c r="F16" s="25">
        <v>0</v>
      </c>
      <c r="G16" s="21">
        <v>0</v>
      </c>
      <c r="H16" s="37">
        <v>0</v>
      </c>
      <c r="I16" s="31">
        <v>0</v>
      </c>
      <c r="J16" s="25">
        <v>0</v>
      </c>
      <c r="K16" s="30">
        <v>0</v>
      </c>
    </row>
    <row r="17" spans="2:11" ht="15" customHeight="1" x14ac:dyDescent="0.25">
      <c r="B17" s="5" t="s">
        <v>188</v>
      </c>
      <c r="C17" s="41">
        <v>0</v>
      </c>
      <c r="D17" s="37">
        <v>0</v>
      </c>
      <c r="E17" s="30">
        <v>0</v>
      </c>
      <c r="F17" s="25">
        <v>0</v>
      </c>
      <c r="G17" s="21">
        <v>0</v>
      </c>
      <c r="H17" s="37">
        <v>0</v>
      </c>
      <c r="I17" s="31">
        <v>0</v>
      </c>
      <c r="J17" s="25">
        <v>0</v>
      </c>
      <c r="K17" s="30">
        <v>0</v>
      </c>
    </row>
    <row r="18" spans="2:11" ht="15" customHeight="1" x14ac:dyDescent="0.25">
      <c r="B18" s="5" t="s">
        <v>189</v>
      </c>
      <c r="C18" s="41">
        <v>0</v>
      </c>
      <c r="D18" s="37">
        <v>0</v>
      </c>
      <c r="E18" s="30">
        <v>0</v>
      </c>
      <c r="F18" s="25">
        <v>0</v>
      </c>
      <c r="G18" s="21">
        <v>0</v>
      </c>
      <c r="H18" s="37">
        <v>0</v>
      </c>
      <c r="I18" s="31">
        <v>0</v>
      </c>
      <c r="J18" s="25">
        <v>0</v>
      </c>
      <c r="K18" s="30">
        <v>0</v>
      </c>
    </row>
    <row r="19" spans="2:11" ht="15" customHeight="1" x14ac:dyDescent="0.25">
      <c r="B19" s="5" t="s">
        <v>190</v>
      </c>
      <c r="C19" s="41">
        <v>0</v>
      </c>
      <c r="D19" s="37">
        <v>0</v>
      </c>
      <c r="E19" s="30">
        <v>0</v>
      </c>
      <c r="F19" s="25">
        <v>0</v>
      </c>
      <c r="G19" s="21">
        <v>0</v>
      </c>
      <c r="H19" s="37">
        <v>0</v>
      </c>
      <c r="I19" s="31">
        <v>0</v>
      </c>
      <c r="J19" s="25">
        <v>0</v>
      </c>
      <c r="K19" s="30">
        <v>0</v>
      </c>
    </row>
    <row r="20" spans="2:11" ht="15" customHeight="1" x14ac:dyDescent="0.25">
      <c r="B20" s="5" t="s">
        <v>191</v>
      </c>
      <c r="C20" s="41">
        <v>0</v>
      </c>
      <c r="D20" s="37">
        <v>0</v>
      </c>
      <c r="E20" s="30">
        <v>0</v>
      </c>
      <c r="F20" s="25">
        <v>0</v>
      </c>
      <c r="G20" s="21">
        <v>0</v>
      </c>
      <c r="H20" s="37">
        <v>0</v>
      </c>
      <c r="I20" s="31">
        <v>0</v>
      </c>
      <c r="J20" s="25">
        <v>0</v>
      </c>
      <c r="K20" s="30">
        <v>0</v>
      </c>
    </row>
    <row r="21" spans="2:11" ht="15" customHeight="1" x14ac:dyDescent="0.25">
      <c r="B21" s="5" t="s">
        <v>192</v>
      </c>
      <c r="C21" s="41">
        <v>0</v>
      </c>
      <c r="D21" s="37">
        <v>0</v>
      </c>
      <c r="E21" s="30">
        <v>0</v>
      </c>
      <c r="F21" s="25">
        <v>0</v>
      </c>
      <c r="G21" s="21">
        <v>0</v>
      </c>
      <c r="H21" s="37">
        <v>0</v>
      </c>
      <c r="I21" s="31">
        <v>0</v>
      </c>
      <c r="J21" s="25">
        <v>0</v>
      </c>
      <c r="K21" s="30">
        <v>0</v>
      </c>
    </row>
    <row r="22" spans="2:11" ht="15" customHeight="1" x14ac:dyDescent="0.25">
      <c r="B22" s="5" t="s">
        <v>193</v>
      </c>
      <c r="C22" s="41">
        <v>5001</v>
      </c>
      <c r="D22" s="37">
        <v>1069</v>
      </c>
      <c r="E22" s="30">
        <v>21.375724855028995</v>
      </c>
      <c r="F22" s="25">
        <v>779</v>
      </c>
      <c r="G22" s="21">
        <v>15.576884623075385</v>
      </c>
      <c r="H22" s="37">
        <v>283</v>
      </c>
      <c r="I22" s="31">
        <v>5.6588682263547287</v>
      </c>
      <c r="J22" s="25">
        <v>7</v>
      </c>
      <c r="K22" s="30">
        <v>0.13997200559888023</v>
      </c>
    </row>
    <row r="23" spans="2:11" ht="15" customHeight="1" x14ac:dyDescent="0.25">
      <c r="B23" s="5" t="s">
        <v>194</v>
      </c>
      <c r="C23" s="41">
        <v>4291</v>
      </c>
      <c r="D23" s="37">
        <v>577</v>
      </c>
      <c r="E23" s="30">
        <v>13.446749009554882</v>
      </c>
      <c r="F23" s="25">
        <v>432</v>
      </c>
      <c r="G23" s="21">
        <v>10.067583313912841</v>
      </c>
      <c r="H23" s="37">
        <v>145</v>
      </c>
      <c r="I23" s="31">
        <v>3.3791656956420413</v>
      </c>
      <c r="J23" s="25">
        <v>0</v>
      </c>
      <c r="K23" s="30">
        <v>0</v>
      </c>
    </row>
    <row r="24" spans="2:11" ht="15" customHeight="1" x14ac:dyDescent="0.25">
      <c r="B24" s="5" t="s">
        <v>195</v>
      </c>
      <c r="C24" s="41">
        <v>0</v>
      </c>
      <c r="D24" s="37">
        <v>0</v>
      </c>
      <c r="E24" s="30">
        <v>0</v>
      </c>
      <c r="F24" s="25">
        <v>0</v>
      </c>
      <c r="G24" s="21">
        <v>0</v>
      </c>
      <c r="H24" s="37">
        <v>0</v>
      </c>
      <c r="I24" s="31">
        <v>0</v>
      </c>
      <c r="J24" s="25">
        <v>0</v>
      </c>
      <c r="K24" s="30">
        <v>0</v>
      </c>
    </row>
    <row r="25" spans="2:11" ht="15" customHeight="1" x14ac:dyDescent="0.25">
      <c r="B25" s="5" t="s">
        <v>196</v>
      </c>
      <c r="C25" s="41">
        <v>0</v>
      </c>
      <c r="D25" s="37">
        <v>0</v>
      </c>
      <c r="E25" s="30">
        <v>0</v>
      </c>
      <c r="F25" s="25">
        <v>0</v>
      </c>
      <c r="G25" s="21">
        <v>0</v>
      </c>
      <c r="H25" s="37">
        <v>0</v>
      </c>
      <c r="I25" s="31">
        <v>0</v>
      </c>
      <c r="J25" s="25">
        <v>0</v>
      </c>
      <c r="K25" s="30">
        <v>0</v>
      </c>
    </row>
    <row r="26" spans="2:11" ht="15" customHeight="1" x14ac:dyDescent="0.25">
      <c r="B26" s="5" t="s">
        <v>197</v>
      </c>
      <c r="C26" s="41">
        <v>2561</v>
      </c>
      <c r="D26" s="37">
        <v>651</v>
      </c>
      <c r="E26" s="30">
        <v>25.419757907067552</v>
      </c>
      <c r="F26" s="25">
        <v>424</v>
      </c>
      <c r="G26" s="21">
        <v>16.556032799687621</v>
      </c>
      <c r="H26" s="37">
        <v>225</v>
      </c>
      <c r="I26" s="31">
        <v>8.7856306130417803</v>
      </c>
      <c r="J26" s="25">
        <v>2</v>
      </c>
      <c r="K26" s="30">
        <v>7.8094494338149162E-2</v>
      </c>
    </row>
    <row r="27" spans="2:11" ht="15" customHeight="1" x14ac:dyDescent="0.25">
      <c r="B27" s="5" t="s">
        <v>198</v>
      </c>
      <c r="C27" s="41">
        <v>8748</v>
      </c>
      <c r="D27" s="37">
        <v>1821</v>
      </c>
      <c r="E27" s="30">
        <v>20.816186556927295</v>
      </c>
      <c r="F27" s="25">
        <v>1427</v>
      </c>
      <c r="G27" s="21">
        <v>16.312299954275264</v>
      </c>
      <c r="H27" s="37">
        <v>375</v>
      </c>
      <c r="I27" s="31">
        <v>4.2866941015089166</v>
      </c>
      <c r="J27" s="25">
        <v>19</v>
      </c>
      <c r="K27" s="30">
        <v>0.21719250114311844</v>
      </c>
    </row>
    <row r="28" spans="2:11" ht="15" customHeight="1" x14ac:dyDescent="0.25">
      <c r="B28" s="5" t="s">
        <v>199</v>
      </c>
      <c r="C28" s="41">
        <v>0</v>
      </c>
      <c r="D28" s="37">
        <v>0</v>
      </c>
      <c r="E28" s="30">
        <v>0</v>
      </c>
      <c r="F28" s="25">
        <v>0</v>
      </c>
      <c r="G28" s="21">
        <v>0</v>
      </c>
      <c r="H28" s="37">
        <v>0</v>
      </c>
      <c r="I28" s="31">
        <v>0</v>
      </c>
      <c r="J28" s="25">
        <v>0</v>
      </c>
      <c r="K28" s="30">
        <v>0</v>
      </c>
    </row>
    <row r="29" spans="2:11" ht="15" customHeight="1" x14ac:dyDescent="0.25">
      <c r="B29" s="5" t="s">
        <v>200</v>
      </c>
      <c r="C29" s="41">
        <v>1790</v>
      </c>
      <c r="D29" s="37">
        <v>309</v>
      </c>
      <c r="E29" s="30">
        <v>17.262569832402235</v>
      </c>
      <c r="F29" s="25">
        <v>233</v>
      </c>
      <c r="G29" s="21">
        <v>13.016759776536313</v>
      </c>
      <c r="H29" s="37">
        <v>76</v>
      </c>
      <c r="I29" s="31">
        <v>4.2458100558659213</v>
      </c>
      <c r="J29" s="25">
        <v>0</v>
      </c>
      <c r="K29" s="30">
        <v>0</v>
      </c>
    </row>
    <row r="30" spans="2:11" ht="15" customHeight="1" x14ac:dyDescent="0.25">
      <c r="B30" s="5" t="s">
        <v>201</v>
      </c>
      <c r="C30" s="41">
        <v>2463</v>
      </c>
      <c r="D30" s="37">
        <v>230</v>
      </c>
      <c r="E30" s="30">
        <v>9.3382054405196904</v>
      </c>
      <c r="F30" s="25">
        <v>179</v>
      </c>
      <c r="G30" s="21">
        <v>7.2675598863174979</v>
      </c>
      <c r="H30" s="37">
        <v>51</v>
      </c>
      <c r="I30" s="31">
        <v>2.0706455542021924</v>
      </c>
      <c r="J30" s="25">
        <v>0</v>
      </c>
      <c r="K30" s="30">
        <v>0</v>
      </c>
    </row>
    <row r="31" spans="2:11" ht="15" customHeight="1" thickBot="1" x14ac:dyDescent="0.3">
      <c r="B31" s="4" t="s">
        <v>202</v>
      </c>
      <c r="C31" s="40">
        <v>6262</v>
      </c>
      <c r="D31" s="38">
        <v>1263</v>
      </c>
      <c r="E31" s="32">
        <v>20.169274992015332</v>
      </c>
      <c r="F31" s="26">
        <v>947</v>
      </c>
      <c r="G31" s="22">
        <v>15.122963909294155</v>
      </c>
      <c r="H31" s="38">
        <v>313</v>
      </c>
      <c r="I31" s="33">
        <v>4.9984030661130632</v>
      </c>
      <c r="J31" s="26">
        <v>3</v>
      </c>
      <c r="K31" s="32">
        <v>4.7908016608112419E-2</v>
      </c>
    </row>
    <row r="32" spans="2:11" ht="15" customHeight="1" thickBot="1" x14ac:dyDescent="0.3">
      <c r="B32" s="11" t="s">
        <v>44</v>
      </c>
      <c r="C32" s="42">
        <f>SUM(C7:C31)</f>
        <v>40760</v>
      </c>
      <c r="D32" s="39">
        <f>SUM(D7:D31)</f>
        <v>7345</v>
      </c>
      <c r="E32" s="34">
        <f>D32/C32*100</f>
        <v>18.020117762512267</v>
      </c>
      <c r="F32" s="27">
        <f>SUM(F7:F31)</f>
        <v>5543</v>
      </c>
      <c r="G32" s="23">
        <f>F32/C32*100</f>
        <v>13.599116781157999</v>
      </c>
      <c r="H32" s="39">
        <f>SUM(H7:H31)</f>
        <v>1765</v>
      </c>
      <c r="I32" s="35">
        <f>H32/C32*100</f>
        <v>4.3302257114818454</v>
      </c>
      <c r="J32" s="27">
        <f>SUM(J7:J31)</f>
        <v>37</v>
      </c>
      <c r="K32" s="34">
        <f>J32/C32*100</f>
        <v>9.0775269872423944E-2</v>
      </c>
    </row>
    <row r="33" spans="2:2" ht="15" customHeight="1" x14ac:dyDescent="0.25">
      <c r="B33" s="2" t="str">
        <f>_xlfn.CONCAT("Fuente: Sistema de Información SIEN - HIS, ",RIGHT(INICIO!C8,4),".")</f>
        <v>Fuente: Sistema de Información SIEN - HIS, 2025.</v>
      </c>
    </row>
    <row r="34" spans="2:2" ht="15" customHeight="1" x14ac:dyDescent="0.25">
      <c r="B34" s="2" t="s">
        <v>68</v>
      </c>
    </row>
  </sheetData>
  <mergeCells count="8">
    <mergeCell ref="H5:I5"/>
    <mergeCell ref="J5:K5"/>
    <mergeCell ref="B2:K2"/>
    <mergeCell ref="B5:B6"/>
    <mergeCell ref="C5:C6"/>
    <mergeCell ref="D5:E5"/>
    <mergeCell ref="F5:G5"/>
    <mergeCell ref="B3:K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0070C0"/>
  </sheetPr>
  <dimension ref="B2:K38"/>
  <sheetViews>
    <sheetView showGridLines="0" zoomScaleNormal="100" workbookViewId="0">
      <selection activeCell="B7" sqref="B7:K35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89" t="s">
        <v>61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5" customHeight="1" thickBot="1" x14ac:dyDescent="0.3"/>
    <row r="5" spans="2:11" ht="15" customHeight="1" thickBot="1" x14ac:dyDescent="0.3">
      <c r="B5" s="101" t="s">
        <v>22</v>
      </c>
      <c r="C5" s="91" t="s">
        <v>10</v>
      </c>
      <c r="D5" s="91" t="s">
        <v>8</v>
      </c>
      <c r="E5" s="91"/>
      <c r="F5" s="94" t="s">
        <v>17</v>
      </c>
      <c r="G5" s="91"/>
      <c r="H5" s="91" t="s">
        <v>18</v>
      </c>
      <c r="I5" s="91"/>
      <c r="J5" s="91" t="s">
        <v>19</v>
      </c>
      <c r="K5" s="91"/>
    </row>
    <row r="6" spans="2:11" ht="15" customHeight="1" thickBot="1" x14ac:dyDescent="0.3">
      <c r="B6" s="101"/>
      <c r="C6" s="91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4" t="s">
        <v>178</v>
      </c>
      <c r="C7" s="40">
        <v>6448</v>
      </c>
      <c r="D7" s="36">
        <v>931</v>
      </c>
      <c r="E7" s="28">
        <v>14.438585607940446</v>
      </c>
      <c r="F7" s="26">
        <v>709</v>
      </c>
      <c r="G7" s="22">
        <v>10.995657568238213</v>
      </c>
      <c r="H7" s="36">
        <v>218</v>
      </c>
      <c r="I7" s="29">
        <v>3.3808933002481387</v>
      </c>
      <c r="J7" s="26">
        <v>4</v>
      </c>
      <c r="K7" s="32">
        <v>6.2034739454094302E-2</v>
      </c>
    </row>
    <row r="8" spans="2:11" ht="15" customHeight="1" x14ac:dyDescent="0.25">
      <c r="B8" s="5" t="s">
        <v>179</v>
      </c>
      <c r="C8" s="41">
        <v>0</v>
      </c>
      <c r="D8" s="37">
        <v>0</v>
      </c>
      <c r="E8" s="30">
        <v>0</v>
      </c>
      <c r="F8" s="25">
        <v>0</v>
      </c>
      <c r="G8" s="21">
        <v>0</v>
      </c>
      <c r="H8" s="37">
        <v>0</v>
      </c>
      <c r="I8" s="31">
        <v>0</v>
      </c>
      <c r="J8" s="25">
        <v>0</v>
      </c>
      <c r="K8" s="30">
        <v>0</v>
      </c>
    </row>
    <row r="9" spans="2:11" ht="15" customHeight="1" x14ac:dyDescent="0.25">
      <c r="B9" s="5" t="s">
        <v>180</v>
      </c>
      <c r="C9" s="41">
        <v>0</v>
      </c>
      <c r="D9" s="37">
        <v>0</v>
      </c>
      <c r="E9" s="30">
        <v>0</v>
      </c>
      <c r="F9" s="25">
        <v>0</v>
      </c>
      <c r="G9" s="21">
        <v>0</v>
      </c>
      <c r="H9" s="37">
        <v>0</v>
      </c>
      <c r="I9" s="31">
        <v>0</v>
      </c>
      <c r="J9" s="25">
        <v>0</v>
      </c>
      <c r="K9" s="30">
        <v>0</v>
      </c>
    </row>
    <row r="10" spans="2:11" ht="15" customHeight="1" x14ac:dyDescent="0.25">
      <c r="B10" s="5" t="s">
        <v>181</v>
      </c>
      <c r="C10" s="41">
        <v>0</v>
      </c>
      <c r="D10" s="37">
        <v>0</v>
      </c>
      <c r="E10" s="30">
        <v>0</v>
      </c>
      <c r="F10" s="25">
        <v>0</v>
      </c>
      <c r="G10" s="21">
        <v>0</v>
      </c>
      <c r="H10" s="37">
        <v>0</v>
      </c>
      <c r="I10" s="31">
        <v>0</v>
      </c>
      <c r="J10" s="25">
        <v>0</v>
      </c>
      <c r="K10" s="30">
        <v>0</v>
      </c>
    </row>
    <row r="11" spans="2:11" ht="15" customHeight="1" x14ac:dyDescent="0.25">
      <c r="B11" s="5" t="s">
        <v>182</v>
      </c>
      <c r="C11" s="41">
        <v>0</v>
      </c>
      <c r="D11" s="37">
        <v>0</v>
      </c>
      <c r="E11" s="30">
        <v>0</v>
      </c>
      <c r="F11" s="25">
        <v>0</v>
      </c>
      <c r="G11" s="21">
        <v>0</v>
      </c>
      <c r="H11" s="37">
        <v>0</v>
      </c>
      <c r="I11" s="31">
        <v>0</v>
      </c>
      <c r="J11" s="25">
        <v>0</v>
      </c>
      <c r="K11" s="30">
        <v>0</v>
      </c>
    </row>
    <row r="12" spans="2:11" ht="15" customHeight="1" x14ac:dyDescent="0.25">
      <c r="B12" s="5" t="s">
        <v>183</v>
      </c>
      <c r="C12" s="41">
        <v>3196</v>
      </c>
      <c r="D12" s="37">
        <v>494</v>
      </c>
      <c r="E12" s="30">
        <v>15.456821026282855</v>
      </c>
      <c r="F12" s="25">
        <v>413</v>
      </c>
      <c r="G12" s="21">
        <v>12.922403003754694</v>
      </c>
      <c r="H12" s="37">
        <v>79</v>
      </c>
      <c r="I12" s="31">
        <v>2.471839799749687</v>
      </c>
      <c r="J12" s="25">
        <v>2</v>
      </c>
      <c r="K12" s="30">
        <v>6.2578222778473094E-2</v>
      </c>
    </row>
    <row r="13" spans="2:11" ht="15" customHeight="1" x14ac:dyDescent="0.25">
      <c r="B13" s="5" t="s">
        <v>184</v>
      </c>
      <c r="C13" s="41">
        <v>0</v>
      </c>
      <c r="D13" s="37">
        <v>0</v>
      </c>
      <c r="E13" s="30">
        <v>0</v>
      </c>
      <c r="F13" s="25">
        <v>0</v>
      </c>
      <c r="G13" s="21">
        <v>0</v>
      </c>
      <c r="H13" s="37">
        <v>0</v>
      </c>
      <c r="I13" s="31">
        <v>0</v>
      </c>
      <c r="J13" s="25">
        <v>0</v>
      </c>
      <c r="K13" s="30">
        <v>0</v>
      </c>
    </row>
    <row r="14" spans="2:11" ht="15" customHeight="1" x14ac:dyDescent="0.25">
      <c r="B14" s="5" t="s">
        <v>185</v>
      </c>
      <c r="C14" s="41">
        <v>0</v>
      </c>
      <c r="D14" s="37">
        <v>0</v>
      </c>
      <c r="E14" s="30">
        <v>0</v>
      </c>
      <c r="F14" s="25">
        <v>0</v>
      </c>
      <c r="G14" s="21">
        <v>0</v>
      </c>
      <c r="H14" s="37">
        <v>0</v>
      </c>
      <c r="I14" s="31">
        <v>0</v>
      </c>
      <c r="J14" s="25">
        <v>0</v>
      </c>
      <c r="K14" s="30">
        <v>0</v>
      </c>
    </row>
    <row r="15" spans="2:11" ht="15" customHeight="1" x14ac:dyDescent="0.25">
      <c r="B15" s="5" t="s">
        <v>186</v>
      </c>
      <c r="C15" s="41">
        <v>0</v>
      </c>
      <c r="D15" s="37">
        <v>0</v>
      </c>
      <c r="E15" s="30">
        <v>0</v>
      </c>
      <c r="F15" s="25">
        <v>0</v>
      </c>
      <c r="G15" s="21">
        <v>0</v>
      </c>
      <c r="H15" s="37">
        <v>0</v>
      </c>
      <c r="I15" s="31">
        <v>0</v>
      </c>
      <c r="J15" s="25">
        <v>0</v>
      </c>
      <c r="K15" s="30">
        <v>0</v>
      </c>
    </row>
    <row r="16" spans="2:11" ht="15" customHeight="1" x14ac:dyDescent="0.25">
      <c r="B16" s="5" t="s">
        <v>187</v>
      </c>
      <c r="C16" s="41">
        <v>0</v>
      </c>
      <c r="D16" s="37">
        <v>0</v>
      </c>
      <c r="E16" s="30">
        <v>0</v>
      </c>
      <c r="F16" s="25">
        <v>0</v>
      </c>
      <c r="G16" s="21">
        <v>0</v>
      </c>
      <c r="H16" s="37">
        <v>0</v>
      </c>
      <c r="I16" s="31">
        <v>0</v>
      </c>
      <c r="J16" s="25">
        <v>0</v>
      </c>
      <c r="K16" s="30">
        <v>0</v>
      </c>
    </row>
    <row r="17" spans="2:11" ht="15" customHeight="1" x14ac:dyDescent="0.25">
      <c r="B17" s="5" t="s">
        <v>188</v>
      </c>
      <c r="C17" s="41">
        <v>0</v>
      </c>
      <c r="D17" s="37">
        <v>0</v>
      </c>
      <c r="E17" s="30">
        <v>0</v>
      </c>
      <c r="F17" s="25">
        <v>0</v>
      </c>
      <c r="G17" s="21">
        <v>0</v>
      </c>
      <c r="H17" s="37">
        <v>0</v>
      </c>
      <c r="I17" s="31">
        <v>0</v>
      </c>
      <c r="J17" s="25">
        <v>0</v>
      </c>
      <c r="K17" s="30">
        <v>0</v>
      </c>
    </row>
    <row r="18" spans="2:11" ht="15" customHeight="1" x14ac:dyDescent="0.25">
      <c r="B18" s="5" t="s">
        <v>189</v>
      </c>
      <c r="C18" s="41">
        <v>0</v>
      </c>
      <c r="D18" s="37">
        <v>0</v>
      </c>
      <c r="E18" s="30">
        <v>0</v>
      </c>
      <c r="F18" s="25">
        <v>0</v>
      </c>
      <c r="G18" s="21">
        <v>0</v>
      </c>
      <c r="H18" s="37">
        <v>0</v>
      </c>
      <c r="I18" s="31">
        <v>0</v>
      </c>
      <c r="J18" s="25">
        <v>0</v>
      </c>
      <c r="K18" s="30">
        <v>0</v>
      </c>
    </row>
    <row r="19" spans="2:11" ht="15" customHeight="1" x14ac:dyDescent="0.25">
      <c r="B19" s="5" t="s">
        <v>190</v>
      </c>
      <c r="C19" s="41">
        <v>0</v>
      </c>
      <c r="D19" s="37">
        <v>0</v>
      </c>
      <c r="E19" s="30">
        <v>0</v>
      </c>
      <c r="F19" s="25">
        <v>0</v>
      </c>
      <c r="G19" s="21">
        <v>0</v>
      </c>
      <c r="H19" s="37">
        <v>0</v>
      </c>
      <c r="I19" s="31">
        <v>0</v>
      </c>
      <c r="J19" s="25">
        <v>0</v>
      </c>
      <c r="K19" s="30">
        <v>0</v>
      </c>
    </row>
    <row r="20" spans="2:11" ht="15" customHeight="1" x14ac:dyDescent="0.25">
      <c r="B20" s="5" t="s">
        <v>191</v>
      </c>
      <c r="C20" s="41">
        <v>0</v>
      </c>
      <c r="D20" s="37">
        <v>0</v>
      </c>
      <c r="E20" s="30">
        <v>0</v>
      </c>
      <c r="F20" s="25">
        <v>0</v>
      </c>
      <c r="G20" s="21">
        <v>0</v>
      </c>
      <c r="H20" s="37">
        <v>0</v>
      </c>
      <c r="I20" s="31">
        <v>0</v>
      </c>
      <c r="J20" s="25">
        <v>0</v>
      </c>
      <c r="K20" s="30">
        <v>0</v>
      </c>
    </row>
    <row r="21" spans="2:11" ht="15" customHeight="1" x14ac:dyDescent="0.25">
      <c r="B21" s="5" t="s">
        <v>203</v>
      </c>
      <c r="C21" s="41">
        <v>0</v>
      </c>
      <c r="D21" s="37">
        <v>0</v>
      </c>
      <c r="E21" s="30">
        <v>0</v>
      </c>
      <c r="F21" s="25">
        <v>0</v>
      </c>
      <c r="G21" s="21">
        <v>0</v>
      </c>
      <c r="H21" s="37">
        <v>0</v>
      </c>
      <c r="I21" s="31">
        <v>0</v>
      </c>
      <c r="J21" s="25">
        <v>0</v>
      </c>
      <c r="K21" s="30">
        <v>0</v>
      </c>
    </row>
    <row r="22" spans="2:11" ht="15" customHeight="1" x14ac:dyDescent="0.25">
      <c r="B22" s="5" t="s">
        <v>204</v>
      </c>
      <c r="C22" s="41">
        <v>0</v>
      </c>
      <c r="D22" s="37">
        <v>0</v>
      </c>
      <c r="E22" s="30">
        <v>0</v>
      </c>
      <c r="F22" s="25">
        <v>0</v>
      </c>
      <c r="G22" s="21">
        <v>0</v>
      </c>
      <c r="H22" s="37">
        <v>0</v>
      </c>
      <c r="I22" s="31">
        <v>0</v>
      </c>
      <c r="J22" s="25">
        <v>0</v>
      </c>
      <c r="K22" s="30">
        <v>0</v>
      </c>
    </row>
    <row r="23" spans="2:11" ht="15" customHeight="1" x14ac:dyDescent="0.25">
      <c r="B23" s="5" t="s">
        <v>205</v>
      </c>
      <c r="C23" s="41">
        <v>0</v>
      </c>
      <c r="D23" s="37">
        <v>0</v>
      </c>
      <c r="E23" s="30">
        <v>0</v>
      </c>
      <c r="F23" s="25">
        <v>0</v>
      </c>
      <c r="G23" s="21">
        <v>0</v>
      </c>
      <c r="H23" s="37">
        <v>0</v>
      </c>
      <c r="I23" s="31">
        <v>0</v>
      </c>
      <c r="J23" s="25">
        <v>0</v>
      </c>
      <c r="K23" s="30">
        <v>0</v>
      </c>
    </row>
    <row r="24" spans="2:11" ht="15" customHeight="1" x14ac:dyDescent="0.25">
      <c r="B24" s="5" t="s">
        <v>206</v>
      </c>
      <c r="C24" s="41">
        <v>0</v>
      </c>
      <c r="D24" s="37">
        <v>0</v>
      </c>
      <c r="E24" s="30">
        <v>0</v>
      </c>
      <c r="F24" s="25">
        <v>0</v>
      </c>
      <c r="G24" s="21">
        <v>0</v>
      </c>
      <c r="H24" s="37">
        <v>0</v>
      </c>
      <c r="I24" s="31">
        <v>0</v>
      </c>
      <c r="J24" s="25">
        <v>0</v>
      </c>
      <c r="K24" s="30">
        <v>0</v>
      </c>
    </row>
    <row r="25" spans="2:11" ht="15" customHeight="1" x14ac:dyDescent="0.25">
      <c r="B25" s="5" t="s">
        <v>207</v>
      </c>
      <c r="C25" s="41">
        <v>0</v>
      </c>
      <c r="D25" s="37">
        <v>0</v>
      </c>
      <c r="E25" s="30">
        <v>0</v>
      </c>
      <c r="F25" s="25">
        <v>0</v>
      </c>
      <c r="G25" s="21">
        <v>0</v>
      </c>
      <c r="H25" s="37">
        <v>0</v>
      </c>
      <c r="I25" s="31">
        <v>0</v>
      </c>
      <c r="J25" s="25">
        <v>0</v>
      </c>
      <c r="K25" s="30">
        <v>0</v>
      </c>
    </row>
    <row r="26" spans="2:11" ht="15" customHeight="1" x14ac:dyDescent="0.25">
      <c r="B26" s="5" t="s">
        <v>193</v>
      </c>
      <c r="C26" s="41">
        <v>5001</v>
      </c>
      <c r="D26" s="37">
        <v>1069</v>
      </c>
      <c r="E26" s="30">
        <v>21.375724855028995</v>
      </c>
      <c r="F26" s="25">
        <v>779</v>
      </c>
      <c r="G26" s="21">
        <v>15.576884623075385</v>
      </c>
      <c r="H26" s="37">
        <v>283</v>
      </c>
      <c r="I26" s="31">
        <v>5.6588682263547287</v>
      </c>
      <c r="J26" s="25">
        <v>7</v>
      </c>
      <c r="K26" s="30">
        <v>0.13997200559888023</v>
      </c>
    </row>
    <row r="27" spans="2:11" ht="15" customHeight="1" x14ac:dyDescent="0.25">
      <c r="B27" s="5" t="s">
        <v>194</v>
      </c>
      <c r="C27" s="41">
        <v>4291</v>
      </c>
      <c r="D27" s="37">
        <v>577</v>
      </c>
      <c r="E27" s="30">
        <v>13.446749009554882</v>
      </c>
      <c r="F27" s="25">
        <v>432</v>
      </c>
      <c r="G27" s="21">
        <v>10.067583313912841</v>
      </c>
      <c r="H27" s="37">
        <v>145</v>
      </c>
      <c r="I27" s="31">
        <v>3.3791656956420413</v>
      </c>
      <c r="J27" s="25">
        <v>0</v>
      </c>
      <c r="K27" s="30">
        <v>0</v>
      </c>
    </row>
    <row r="28" spans="2:11" ht="15" customHeight="1" x14ac:dyDescent="0.25">
      <c r="B28" s="5" t="s">
        <v>195</v>
      </c>
      <c r="C28" s="41">
        <v>0</v>
      </c>
      <c r="D28" s="37">
        <v>0</v>
      </c>
      <c r="E28" s="30">
        <v>0</v>
      </c>
      <c r="F28" s="25">
        <v>0</v>
      </c>
      <c r="G28" s="21">
        <v>0</v>
      </c>
      <c r="H28" s="37">
        <v>0</v>
      </c>
      <c r="I28" s="31">
        <v>0</v>
      </c>
      <c r="J28" s="25">
        <v>0</v>
      </c>
      <c r="K28" s="30">
        <v>0</v>
      </c>
    </row>
    <row r="29" spans="2:11" ht="15" customHeight="1" x14ac:dyDescent="0.25">
      <c r="B29" s="5" t="s">
        <v>196</v>
      </c>
      <c r="C29" s="41">
        <v>0</v>
      </c>
      <c r="D29" s="37">
        <v>0</v>
      </c>
      <c r="E29" s="30">
        <v>0</v>
      </c>
      <c r="F29" s="25">
        <v>0</v>
      </c>
      <c r="G29" s="21">
        <v>0</v>
      </c>
      <c r="H29" s="37">
        <v>0</v>
      </c>
      <c r="I29" s="31">
        <v>0</v>
      </c>
      <c r="J29" s="25">
        <v>0</v>
      </c>
      <c r="K29" s="30">
        <v>0</v>
      </c>
    </row>
    <row r="30" spans="2:11" ht="15" customHeight="1" x14ac:dyDescent="0.25">
      <c r="B30" s="5" t="s">
        <v>197</v>
      </c>
      <c r="C30" s="41">
        <v>2561</v>
      </c>
      <c r="D30" s="37">
        <v>651</v>
      </c>
      <c r="E30" s="30">
        <v>25.419757907067552</v>
      </c>
      <c r="F30" s="25">
        <v>424</v>
      </c>
      <c r="G30" s="21">
        <v>16.556032799687621</v>
      </c>
      <c r="H30" s="37">
        <v>225</v>
      </c>
      <c r="I30" s="31">
        <v>8.7856306130417803</v>
      </c>
      <c r="J30" s="25">
        <v>2</v>
      </c>
      <c r="K30" s="30">
        <v>7.8094494338149162E-2</v>
      </c>
    </row>
    <row r="31" spans="2:11" ht="15" customHeight="1" x14ac:dyDescent="0.25">
      <c r="B31" s="5" t="s">
        <v>198</v>
      </c>
      <c r="C31" s="41">
        <v>8748</v>
      </c>
      <c r="D31" s="37">
        <v>1821</v>
      </c>
      <c r="E31" s="30">
        <v>20.816186556927295</v>
      </c>
      <c r="F31" s="25">
        <v>1427</v>
      </c>
      <c r="G31" s="21">
        <v>16.312299954275264</v>
      </c>
      <c r="H31" s="37">
        <v>375</v>
      </c>
      <c r="I31" s="31">
        <v>4.2866941015089166</v>
      </c>
      <c r="J31" s="25">
        <v>19</v>
      </c>
      <c r="K31" s="30">
        <v>0.21719250114311844</v>
      </c>
    </row>
    <row r="32" spans="2:11" ht="15" customHeight="1" x14ac:dyDescent="0.25">
      <c r="B32" s="5" t="s">
        <v>199</v>
      </c>
      <c r="C32" s="41">
        <v>0</v>
      </c>
      <c r="D32" s="37">
        <v>0</v>
      </c>
      <c r="E32" s="30">
        <v>0</v>
      </c>
      <c r="F32" s="25">
        <v>0</v>
      </c>
      <c r="G32" s="21">
        <v>0</v>
      </c>
      <c r="H32" s="37">
        <v>0</v>
      </c>
      <c r="I32" s="31">
        <v>0</v>
      </c>
      <c r="J32" s="25">
        <v>0</v>
      </c>
      <c r="K32" s="30">
        <v>0</v>
      </c>
    </row>
    <row r="33" spans="2:11" ht="15" customHeight="1" x14ac:dyDescent="0.25">
      <c r="B33" s="5" t="s">
        <v>200</v>
      </c>
      <c r="C33" s="41">
        <v>1790</v>
      </c>
      <c r="D33" s="37">
        <v>309</v>
      </c>
      <c r="E33" s="30">
        <v>17.262569832402235</v>
      </c>
      <c r="F33" s="25">
        <v>233</v>
      </c>
      <c r="G33" s="21">
        <v>13.016759776536313</v>
      </c>
      <c r="H33" s="37">
        <v>76</v>
      </c>
      <c r="I33" s="31">
        <v>4.2458100558659213</v>
      </c>
      <c r="J33" s="25">
        <v>0</v>
      </c>
      <c r="K33" s="30">
        <v>0</v>
      </c>
    </row>
    <row r="34" spans="2:11" ht="15" customHeight="1" x14ac:dyDescent="0.25">
      <c r="B34" s="5" t="s">
        <v>201</v>
      </c>
      <c r="C34" s="41">
        <v>2463</v>
      </c>
      <c r="D34" s="37">
        <v>230</v>
      </c>
      <c r="E34" s="30">
        <v>9.3382054405196904</v>
      </c>
      <c r="F34" s="25">
        <v>179</v>
      </c>
      <c r="G34" s="21">
        <v>7.2675598863174979</v>
      </c>
      <c r="H34" s="37">
        <v>51</v>
      </c>
      <c r="I34" s="31">
        <v>2.0706455542021924</v>
      </c>
      <c r="J34" s="25">
        <v>0</v>
      </c>
      <c r="K34" s="30">
        <v>0</v>
      </c>
    </row>
    <row r="35" spans="2:11" ht="15" customHeight="1" thickBot="1" x14ac:dyDescent="0.3">
      <c r="B35" s="5" t="s">
        <v>202</v>
      </c>
      <c r="C35" s="41">
        <v>6262</v>
      </c>
      <c r="D35" s="37">
        <v>1263</v>
      </c>
      <c r="E35" s="30">
        <v>20.169274992015332</v>
      </c>
      <c r="F35" s="25">
        <v>947</v>
      </c>
      <c r="G35" s="21">
        <v>15.122963909294155</v>
      </c>
      <c r="H35" s="37">
        <v>313</v>
      </c>
      <c r="I35" s="31">
        <v>4.9984030661130632</v>
      </c>
      <c r="J35" s="25">
        <v>3</v>
      </c>
      <c r="K35" s="30">
        <v>4.7908016608112419E-2</v>
      </c>
    </row>
    <row r="36" spans="2:11" ht="15" customHeight="1" thickBot="1" x14ac:dyDescent="0.3">
      <c r="B36" s="11" t="s">
        <v>44</v>
      </c>
      <c r="C36" s="42">
        <f>SUM(C7:C35)</f>
        <v>40760</v>
      </c>
      <c r="D36" s="39">
        <f>SUM(D7:D35)</f>
        <v>7345</v>
      </c>
      <c r="E36" s="34">
        <f>D36/C36*100</f>
        <v>18.020117762512267</v>
      </c>
      <c r="F36" s="27">
        <f>SUM(F7:F35)</f>
        <v>5543</v>
      </c>
      <c r="G36" s="23">
        <f>F36/C36*100</f>
        <v>13.599116781157999</v>
      </c>
      <c r="H36" s="39">
        <f>SUM(H7:H35)</f>
        <v>1765</v>
      </c>
      <c r="I36" s="35">
        <f>H36/C36*100</f>
        <v>4.3302257114818454</v>
      </c>
      <c r="J36" s="27">
        <f>SUM(J7:J35)</f>
        <v>37</v>
      </c>
      <c r="K36" s="34">
        <f>J36/C36*100</f>
        <v>9.0775269872423944E-2</v>
      </c>
    </row>
    <row r="37" spans="2:11" ht="15" customHeight="1" x14ac:dyDescent="0.25">
      <c r="B37" s="2" t="str">
        <f>_xlfn.CONCAT("Fuente: Sistema de Información SIEN - HIS, ",RIGHT(INICIO!C8,4),".")</f>
        <v>Fuente: Sistema de Información SIEN - HIS, 2025.</v>
      </c>
    </row>
    <row r="38" spans="2:11" ht="15" customHeight="1" x14ac:dyDescent="0.25">
      <c r="B38" s="2" t="s">
        <v>68</v>
      </c>
    </row>
  </sheetData>
  <sortState xmlns:xlrd2="http://schemas.microsoft.com/office/spreadsheetml/2017/richdata2" ref="B7:K35">
    <sortCondition ref="B7:B35"/>
  </sortState>
  <mergeCells count="8">
    <mergeCell ref="B2:K2"/>
    <mergeCell ref="B3:K3"/>
    <mergeCell ref="B5:B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0070C0"/>
  </sheetPr>
  <dimension ref="B2:N95"/>
  <sheetViews>
    <sheetView showGridLines="0" workbookViewId="0">
      <selection activeCell="B7" sqref="B7:N90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4" width="12.7109375" style="1" customWidth="1"/>
    <col min="15" max="16384" width="11.42578125" style="1"/>
  </cols>
  <sheetData>
    <row r="2" spans="2:14" ht="84.95" customHeight="1" x14ac:dyDescent="0.25">
      <c r="B2" s="89" t="s">
        <v>62</v>
      </c>
      <c r="C2" s="89"/>
      <c r="D2" s="89"/>
      <c r="E2" s="89"/>
      <c r="F2" s="102"/>
      <c r="G2" s="102"/>
      <c r="H2" s="102"/>
      <c r="I2" s="102"/>
      <c r="J2" s="102"/>
      <c r="K2" s="102"/>
      <c r="L2" s="102"/>
      <c r="M2" s="102"/>
      <c r="N2" s="102"/>
    </row>
    <row r="3" spans="2:14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15" customHeight="1" thickBot="1" x14ac:dyDescent="0.3"/>
    <row r="5" spans="2:14" ht="15" customHeight="1" thickBot="1" x14ac:dyDescent="0.3">
      <c r="B5" s="92" t="s">
        <v>0</v>
      </c>
      <c r="C5" s="92" t="s">
        <v>5</v>
      </c>
      <c r="D5" s="101" t="s">
        <v>6</v>
      </c>
      <c r="E5" s="92" t="s">
        <v>7</v>
      </c>
      <c r="F5" s="91" t="s">
        <v>10</v>
      </c>
      <c r="G5" s="91" t="s">
        <v>8</v>
      </c>
      <c r="H5" s="91"/>
      <c r="I5" s="94" t="s">
        <v>17</v>
      </c>
      <c r="J5" s="91"/>
      <c r="K5" s="91" t="s">
        <v>18</v>
      </c>
      <c r="L5" s="91"/>
      <c r="M5" s="91" t="s">
        <v>19</v>
      </c>
      <c r="N5" s="91"/>
    </row>
    <row r="6" spans="2:14" ht="15" customHeight="1" thickBot="1" x14ac:dyDescent="0.3">
      <c r="B6" s="92"/>
      <c r="C6" s="92"/>
      <c r="D6" s="101"/>
      <c r="E6" s="92"/>
      <c r="F6" s="91"/>
      <c r="G6" s="9" t="s">
        <v>1</v>
      </c>
      <c r="H6" s="9" t="s">
        <v>2</v>
      </c>
      <c r="I6" s="10" t="s">
        <v>1</v>
      </c>
      <c r="J6" s="9" t="s">
        <v>2</v>
      </c>
      <c r="K6" s="9" t="s">
        <v>1</v>
      </c>
      <c r="L6" s="9" t="s">
        <v>2</v>
      </c>
      <c r="M6" s="9" t="s">
        <v>1</v>
      </c>
      <c r="N6" s="9" t="s">
        <v>2</v>
      </c>
    </row>
    <row r="7" spans="2:14" ht="15" customHeight="1" x14ac:dyDescent="0.25">
      <c r="B7" s="4" t="s">
        <v>178</v>
      </c>
      <c r="C7" s="7" t="s">
        <v>208</v>
      </c>
      <c r="D7" s="6" t="s">
        <v>209</v>
      </c>
      <c r="E7" s="8">
        <v>10205</v>
      </c>
      <c r="F7" s="16">
        <v>3208</v>
      </c>
      <c r="G7" s="26">
        <v>456</v>
      </c>
      <c r="H7" s="32">
        <v>14.214463840399002</v>
      </c>
      <c r="I7" s="26">
        <v>350</v>
      </c>
      <c r="J7" s="22">
        <v>10.910224438902743</v>
      </c>
      <c r="K7" s="36">
        <v>103</v>
      </c>
      <c r="L7" s="29">
        <v>3.2107231920199499</v>
      </c>
      <c r="M7" s="26">
        <v>3</v>
      </c>
      <c r="N7" s="32">
        <v>9.3516209476309231E-2</v>
      </c>
    </row>
    <row r="8" spans="2:14" ht="15" customHeight="1" x14ac:dyDescent="0.25">
      <c r="B8" s="5" t="s">
        <v>178</v>
      </c>
      <c r="C8" s="7" t="s">
        <v>210</v>
      </c>
      <c r="D8" s="7" t="s">
        <v>211</v>
      </c>
      <c r="E8" s="3">
        <v>10402</v>
      </c>
      <c r="F8" s="17">
        <v>1416</v>
      </c>
      <c r="G8" s="25">
        <v>184</v>
      </c>
      <c r="H8" s="30">
        <v>12.994350282485875</v>
      </c>
      <c r="I8" s="25">
        <v>142</v>
      </c>
      <c r="J8" s="21">
        <v>10.028248587570623</v>
      </c>
      <c r="K8" s="37">
        <v>42</v>
      </c>
      <c r="L8" s="31">
        <v>2.9661016949152543</v>
      </c>
      <c r="M8" s="25">
        <v>0</v>
      </c>
      <c r="N8" s="30">
        <v>0</v>
      </c>
    </row>
    <row r="9" spans="2:14" ht="15" customHeight="1" x14ac:dyDescent="0.25">
      <c r="B9" s="5" t="s">
        <v>178</v>
      </c>
      <c r="C9" s="7" t="s">
        <v>210</v>
      </c>
      <c r="D9" s="7" t="s">
        <v>212</v>
      </c>
      <c r="E9" s="3">
        <v>10403</v>
      </c>
      <c r="F9" s="17">
        <v>1824</v>
      </c>
      <c r="G9" s="25">
        <v>291</v>
      </c>
      <c r="H9" s="30">
        <v>15.953947368421053</v>
      </c>
      <c r="I9" s="25">
        <v>217</v>
      </c>
      <c r="J9" s="21">
        <v>11.896929824561402</v>
      </c>
      <c r="K9" s="37">
        <v>73</v>
      </c>
      <c r="L9" s="31">
        <v>4.0021929824561404</v>
      </c>
      <c r="M9" s="25">
        <v>1</v>
      </c>
      <c r="N9" s="30">
        <v>5.4824561403508769E-2</v>
      </c>
    </row>
    <row r="10" spans="2:14" ht="15" customHeight="1" x14ac:dyDescent="0.25">
      <c r="B10" s="5" t="s">
        <v>183</v>
      </c>
      <c r="C10" s="7" t="s">
        <v>213</v>
      </c>
      <c r="D10" s="7" t="s">
        <v>214</v>
      </c>
      <c r="E10" s="3">
        <v>60903</v>
      </c>
      <c r="F10" s="17">
        <v>700</v>
      </c>
      <c r="G10" s="25">
        <v>100</v>
      </c>
      <c r="H10" s="30">
        <v>14.285714285714285</v>
      </c>
      <c r="I10" s="25">
        <v>87</v>
      </c>
      <c r="J10" s="21">
        <v>12.428571428571429</v>
      </c>
      <c r="K10" s="37">
        <v>12</v>
      </c>
      <c r="L10" s="31">
        <v>1.7142857142857144</v>
      </c>
      <c r="M10" s="25">
        <v>1</v>
      </c>
      <c r="N10" s="30">
        <v>0.14285714285714285</v>
      </c>
    </row>
    <row r="11" spans="2:14" ht="15" customHeight="1" x14ac:dyDescent="0.25">
      <c r="B11" s="5" t="s">
        <v>183</v>
      </c>
      <c r="C11" s="7" t="s">
        <v>213</v>
      </c>
      <c r="D11" s="7" t="s">
        <v>215</v>
      </c>
      <c r="E11" s="3">
        <v>60905</v>
      </c>
      <c r="F11" s="58">
        <v>422</v>
      </c>
      <c r="G11" s="59">
        <v>41</v>
      </c>
      <c r="H11" s="62">
        <v>9.7156398104265413</v>
      </c>
      <c r="I11" s="59">
        <v>34</v>
      </c>
      <c r="J11" s="60">
        <v>8.0568720379146921</v>
      </c>
      <c r="K11" s="61">
        <v>6</v>
      </c>
      <c r="L11" s="63">
        <v>1.4218009478672986</v>
      </c>
      <c r="M11" s="59">
        <v>1</v>
      </c>
      <c r="N11" s="62">
        <v>0.23696682464454977</v>
      </c>
    </row>
    <row r="12" spans="2:14" ht="15" customHeight="1" x14ac:dyDescent="0.25">
      <c r="B12" s="5" t="s">
        <v>183</v>
      </c>
      <c r="C12" s="7" t="s">
        <v>213</v>
      </c>
      <c r="D12" s="7" t="s">
        <v>213</v>
      </c>
      <c r="E12" s="3">
        <v>60901</v>
      </c>
      <c r="F12" s="17">
        <v>1337</v>
      </c>
      <c r="G12" s="25">
        <v>252</v>
      </c>
      <c r="H12" s="30">
        <v>18.848167539267017</v>
      </c>
      <c r="I12" s="25">
        <v>202</v>
      </c>
      <c r="J12" s="21">
        <v>15.108451757666415</v>
      </c>
      <c r="K12" s="37">
        <v>50</v>
      </c>
      <c r="L12" s="31">
        <v>3.7397157816005984</v>
      </c>
      <c r="M12" s="25">
        <v>0</v>
      </c>
      <c r="N12" s="30">
        <v>0</v>
      </c>
    </row>
    <row r="13" spans="2:14" ht="15" customHeight="1" x14ac:dyDescent="0.25">
      <c r="B13" s="5" t="s">
        <v>183</v>
      </c>
      <c r="C13" s="7" t="s">
        <v>213</v>
      </c>
      <c r="D13" s="7" t="s">
        <v>216</v>
      </c>
      <c r="E13" s="3">
        <v>60906</v>
      </c>
      <c r="F13" s="17">
        <v>737</v>
      </c>
      <c r="G13" s="25">
        <v>101</v>
      </c>
      <c r="H13" s="30">
        <v>13.704206241519673</v>
      </c>
      <c r="I13" s="25">
        <v>90</v>
      </c>
      <c r="J13" s="21">
        <v>12.211668928086839</v>
      </c>
      <c r="K13" s="37">
        <v>11</v>
      </c>
      <c r="L13" s="31">
        <v>1.4925373134328357</v>
      </c>
      <c r="M13" s="25">
        <v>0</v>
      </c>
      <c r="N13" s="30">
        <v>0</v>
      </c>
    </row>
    <row r="14" spans="2:14" ht="15" customHeight="1" x14ac:dyDescent="0.25">
      <c r="B14" s="5" t="s">
        <v>193</v>
      </c>
      <c r="C14" s="7" t="s">
        <v>217</v>
      </c>
      <c r="D14" s="7" t="s">
        <v>218</v>
      </c>
      <c r="E14" s="3">
        <v>160706</v>
      </c>
      <c r="F14" s="58">
        <v>663</v>
      </c>
      <c r="G14" s="59">
        <v>215</v>
      </c>
      <c r="H14" s="62">
        <v>32.428355957767721</v>
      </c>
      <c r="I14" s="59">
        <v>164</v>
      </c>
      <c r="J14" s="60">
        <v>24.736048265460031</v>
      </c>
      <c r="K14" s="61">
        <v>48</v>
      </c>
      <c r="L14" s="63">
        <v>7.2398190045248878</v>
      </c>
      <c r="M14" s="59">
        <v>3</v>
      </c>
      <c r="N14" s="62">
        <v>0.45248868778280549</v>
      </c>
    </row>
    <row r="15" spans="2:14" ht="15" customHeight="1" x14ac:dyDescent="0.25">
      <c r="B15" s="5" t="s">
        <v>193</v>
      </c>
      <c r="C15" s="7" t="s">
        <v>217</v>
      </c>
      <c r="D15" s="7" t="s">
        <v>219</v>
      </c>
      <c r="E15" s="3">
        <v>160704</v>
      </c>
      <c r="F15" s="58">
        <v>657</v>
      </c>
      <c r="G15" s="59">
        <v>117</v>
      </c>
      <c r="H15" s="62">
        <v>17.80821917808219</v>
      </c>
      <c r="I15" s="59">
        <v>95</v>
      </c>
      <c r="J15" s="60">
        <v>14.45966514459665</v>
      </c>
      <c r="K15" s="61">
        <v>22</v>
      </c>
      <c r="L15" s="63">
        <v>3.3485540334855401</v>
      </c>
      <c r="M15" s="59">
        <v>0</v>
      </c>
      <c r="N15" s="62">
        <v>0</v>
      </c>
    </row>
    <row r="16" spans="2:14" ht="15" customHeight="1" x14ac:dyDescent="0.25">
      <c r="B16" s="5" t="s">
        <v>193</v>
      </c>
      <c r="C16" s="7" t="s">
        <v>193</v>
      </c>
      <c r="D16" s="7" t="s">
        <v>220</v>
      </c>
      <c r="E16" s="3">
        <v>160303</v>
      </c>
      <c r="F16" s="58">
        <v>366</v>
      </c>
      <c r="G16" s="59">
        <v>78</v>
      </c>
      <c r="H16" s="62">
        <v>21.311475409836063</v>
      </c>
      <c r="I16" s="59">
        <v>52</v>
      </c>
      <c r="J16" s="60">
        <v>14.207650273224044</v>
      </c>
      <c r="K16" s="61">
        <v>25</v>
      </c>
      <c r="L16" s="63">
        <v>6.8306010928961758</v>
      </c>
      <c r="M16" s="59">
        <v>1</v>
      </c>
      <c r="N16" s="62">
        <v>0.27322404371584702</v>
      </c>
    </row>
    <row r="17" spans="2:14" ht="15" customHeight="1" x14ac:dyDescent="0.25">
      <c r="B17" s="5" t="s">
        <v>193</v>
      </c>
      <c r="C17" s="7" t="s">
        <v>193</v>
      </c>
      <c r="D17" s="7" t="s">
        <v>221</v>
      </c>
      <c r="E17" s="3">
        <v>160304</v>
      </c>
      <c r="F17" s="58">
        <v>355</v>
      </c>
      <c r="G17" s="59">
        <v>112</v>
      </c>
      <c r="H17" s="62">
        <v>31.549295774647888</v>
      </c>
      <c r="I17" s="59">
        <v>65</v>
      </c>
      <c r="J17" s="60">
        <v>18.30985915492958</v>
      </c>
      <c r="K17" s="61">
        <v>46</v>
      </c>
      <c r="L17" s="63">
        <v>12.957746478873238</v>
      </c>
      <c r="M17" s="59">
        <v>1</v>
      </c>
      <c r="N17" s="62">
        <v>0.28169014084507044</v>
      </c>
    </row>
    <row r="18" spans="2:14" ht="15" customHeight="1" x14ac:dyDescent="0.25">
      <c r="B18" s="5" t="s">
        <v>193</v>
      </c>
      <c r="C18" s="7" t="s">
        <v>222</v>
      </c>
      <c r="D18" s="7" t="s">
        <v>223</v>
      </c>
      <c r="E18" s="3">
        <v>160401</v>
      </c>
      <c r="F18" s="17">
        <v>829</v>
      </c>
      <c r="G18" s="25">
        <v>164</v>
      </c>
      <c r="H18" s="30">
        <v>19.782870928829915</v>
      </c>
      <c r="I18" s="25">
        <v>121</v>
      </c>
      <c r="J18" s="21">
        <v>14.595898673100121</v>
      </c>
      <c r="K18" s="37">
        <v>43</v>
      </c>
      <c r="L18" s="31">
        <v>5.1869722557297955</v>
      </c>
      <c r="M18" s="25">
        <v>0</v>
      </c>
      <c r="N18" s="30">
        <v>0</v>
      </c>
    </row>
    <row r="19" spans="2:14" ht="15" customHeight="1" x14ac:dyDescent="0.25">
      <c r="B19" s="5" t="s">
        <v>193</v>
      </c>
      <c r="C19" s="7" t="s">
        <v>222</v>
      </c>
      <c r="D19" s="7" t="s">
        <v>224</v>
      </c>
      <c r="E19" s="3">
        <v>160403</v>
      </c>
      <c r="F19" s="17">
        <v>444</v>
      </c>
      <c r="G19" s="25">
        <v>111</v>
      </c>
      <c r="H19" s="30">
        <v>25</v>
      </c>
      <c r="I19" s="25">
        <v>79</v>
      </c>
      <c r="J19" s="21">
        <v>17.792792792792792</v>
      </c>
      <c r="K19" s="37">
        <v>32</v>
      </c>
      <c r="L19" s="31">
        <v>7.2072072072072073</v>
      </c>
      <c r="M19" s="25">
        <v>0</v>
      </c>
      <c r="N19" s="30">
        <v>0</v>
      </c>
    </row>
    <row r="20" spans="2:14" ht="15" customHeight="1" x14ac:dyDescent="0.25">
      <c r="B20" s="5" t="s">
        <v>193</v>
      </c>
      <c r="C20" s="7" t="s">
        <v>225</v>
      </c>
      <c r="D20" s="7" t="s">
        <v>226</v>
      </c>
      <c r="E20" s="3">
        <v>160107</v>
      </c>
      <c r="F20" s="58">
        <v>719</v>
      </c>
      <c r="G20" s="59">
        <v>121</v>
      </c>
      <c r="H20" s="62">
        <v>16.82892906815021</v>
      </c>
      <c r="I20" s="59">
        <v>92</v>
      </c>
      <c r="J20" s="60">
        <v>12.795549374130738</v>
      </c>
      <c r="K20" s="61">
        <v>27</v>
      </c>
      <c r="L20" s="63">
        <v>3.7552155771905427</v>
      </c>
      <c r="M20" s="59">
        <v>2</v>
      </c>
      <c r="N20" s="62">
        <v>0.27816411682892905</v>
      </c>
    </row>
    <row r="21" spans="2:14" ht="15" customHeight="1" x14ac:dyDescent="0.25">
      <c r="B21" s="5" t="s">
        <v>193</v>
      </c>
      <c r="C21" s="7" t="s">
        <v>225</v>
      </c>
      <c r="D21" s="7" t="s">
        <v>227</v>
      </c>
      <c r="E21" s="3">
        <v>160110</v>
      </c>
      <c r="F21" s="58">
        <v>454</v>
      </c>
      <c r="G21" s="59">
        <v>38</v>
      </c>
      <c r="H21" s="62">
        <v>8.3700440528634363</v>
      </c>
      <c r="I21" s="59">
        <v>34</v>
      </c>
      <c r="J21" s="60">
        <v>7.4889867841409687</v>
      </c>
      <c r="K21" s="61">
        <v>4</v>
      </c>
      <c r="L21" s="63">
        <v>0.88105726872246704</v>
      </c>
      <c r="M21" s="59">
        <v>0</v>
      </c>
      <c r="N21" s="62">
        <v>0</v>
      </c>
    </row>
    <row r="22" spans="2:14" ht="15" customHeight="1" x14ac:dyDescent="0.25">
      <c r="B22" s="5" t="s">
        <v>193</v>
      </c>
      <c r="C22" s="7" t="s">
        <v>228</v>
      </c>
      <c r="D22" s="7" t="s">
        <v>228</v>
      </c>
      <c r="E22" s="3">
        <v>160801</v>
      </c>
      <c r="F22" s="58">
        <v>173</v>
      </c>
      <c r="G22" s="59">
        <v>21</v>
      </c>
      <c r="H22" s="62">
        <v>12.138728323699421</v>
      </c>
      <c r="I22" s="59">
        <v>20</v>
      </c>
      <c r="J22" s="60">
        <v>11.560693641618498</v>
      </c>
      <c r="K22" s="61">
        <v>1</v>
      </c>
      <c r="L22" s="63">
        <v>0.57803468208092479</v>
      </c>
      <c r="M22" s="59">
        <v>0</v>
      </c>
      <c r="N22" s="62">
        <v>0</v>
      </c>
    </row>
    <row r="23" spans="2:14" ht="15" customHeight="1" x14ac:dyDescent="0.25">
      <c r="B23" s="5" t="s">
        <v>193</v>
      </c>
      <c r="C23" s="7" t="s">
        <v>228</v>
      </c>
      <c r="D23" s="7" t="s">
        <v>229</v>
      </c>
      <c r="E23" s="3">
        <v>160802</v>
      </c>
      <c r="F23" s="58">
        <v>14</v>
      </c>
      <c r="G23" s="59">
        <v>7</v>
      </c>
      <c r="H23" s="62">
        <v>50</v>
      </c>
      <c r="I23" s="59">
        <v>7</v>
      </c>
      <c r="J23" s="60">
        <v>50</v>
      </c>
      <c r="K23" s="61">
        <v>0</v>
      </c>
      <c r="L23" s="63">
        <v>0</v>
      </c>
      <c r="M23" s="59">
        <v>0</v>
      </c>
      <c r="N23" s="62">
        <v>0</v>
      </c>
    </row>
    <row r="24" spans="2:14" ht="15" customHeight="1" x14ac:dyDescent="0.25">
      <c r="B24" s="5" t="s">
        <v>193</v>
      </c>
      <c r="C24" s="7" t="s">
        <v>228</v>
      </c>
      <c r="D24" s="7" t="s">
        <v>230</v>
      </c>
      <c r="E24" s="3">
        <v>160803</v>
      </c>
      <c r="F24" s="17">
        <v>135</v>
      </c>
      <c r="G24" s="25">
        <v>48</v>
      </c>
      <c r="H24" s="30">
        <v>35.555555555555557</v>
      </c>
      <c r="I24" s="25">
        <v>23</v>
      </c>
      <c r="J24" s="21">
        <v>17.037037037037038</v>
      </c>
      <c r="K24" s="37">
        <v>25</v>
      </c>
      <c r="L24" s="31">
        <v>18.518518518518519</v>
      </c>
      <c r="M24" s="25">
        <v>0</v>
      </c>
      <c r="N24" s="30">
        <v>0</v>
      </c>
    </row>
    <row r="25" spans="2:14" ht="15" customHeight="1" x14ac:dyDescent="0.25">
      <c r="B25" s="5" t="s">
        <v>193</v>
      </c>
      <c r="C25" s="7" t="s">
        <v>228</v>
      </c>
      <c r="D25" s="7" t="s">
        <v>231</v>
      </c>
      <c r="E25" s="3">
        <v>160804</v>
      </c>
      <c r="F25" s="17">
        <v>65</v>
      </c>
      <c r="G25" s="25">
        <v>6</v>
      </c>
      <c r="H25" s="30">
        <v>9.2307692307692317</v>
      </c>
      <c r="I25" s="25">
        <v>4</v>
      </c>
      <c r="J25" s="21">
        <v>6.1538461538461542</v>
      </c>
      <c r="K25" s="37">
        <v>2</v>
      </c>
      <c r="L25" s="31">
        <v>3.0769230769230771</v>
      </c>
      <c r="M25" s="25">
        <v>0</v>
      </c>
      <c r="N25" s="30">
        <v>0</v>
      </c>
    </row>
    <row r="26" spans="2:14" ht="15" customHeight="1" x14ac:dyDescent="0.25">
      <c r="B26" s="5" t="s">
        <v>193</v>
      </c>
      <c r="C26" s="7" t="s">
        <v>232</v>
      </c>
      <c r="D26" s="7" t="s">
        <v>234</v>
      </c>
      <c r="E26" s="3">
        <v>160511</v>
      </c>
      <c r="F26" s="58">
        <v>127</v>
      </c>
      <c r="G26" s="59">
        <v>31</v>
      </c>
      <c r="H26" s="62">
        <v>24.409448818897637</v>
      </c>
      <c r="I26" s="59">
        <v>23</v>
      </c>
      <c r="J26" s="60">
        <v>18.110236220472441</v>
      </c>
      <c r="K26" s="61">
        <v>8</v>
      </c>
      <c r="L26" s="63">
        <v>6.2992125984251963</v>
      </c>
      <c r="M26" s="59">
        <v>0</v>
      </c>
      <c r="N26" s="62">
        <v>0</v>
      </c>
    </row>
    <row r="27" spans="2:14" ht="15" customHeight="1" x14ac:dyDescent="0.25">
      <c r="B27" s="5" t="s">
        <v>194</v>
      </c>
      <c r="C27" s="7" t="s">
        <v>235</v>
      </c>
      <c r="D27" s="7" t="s">
        <v>236</v>
      </c>
      <c r="E27" s="3">
        <v>170302</v>
      </c>
      <c r="F27" s="58">
        <v>246</v>
      </c>
      <c r="G27" s="59">
        <v>64</v>
      </c>
      <c r="H27" s="62">
        <v>26.016260162601629</v>
      </c>
      <c r="I27" s="59">
        <v>51</v>
      </c>
      <c r="J27" s="60">
        <v>20.73170731707317</v>
      </c>
      <c r="K27" s="61">
        <v>13</v>
      </c>
      <c r="L27" s="63">
        <v>5.2845528455284558</v>
      </c>
      <c r="M27" s="59">
        <v>0</v>
      </c>
      <c r="N27" s="62">
        <v>0</v>
      </c>
    </row>
    <row r="28" spans="2:14" ht="15" customHeight="1" x14ac:dyDescent="0.25">
      <c r="B28" s="5" t="s">
        <v>194</v>
      </c>
      <c r="C28" s="7" t="s">
        <v>235</v>
      </c>
      <c r="D28" s="7" t="s">
        <v>237</v>
      </c>
      <c r="E28" s="3">
        <v>170301</v>
      </c>
      <c r="F28" s="58">
        <v>59</v>
      </c>
      <c r="G28" s="59">
        <v>4</v>
      </c>
      <c r="H28" s="62">
        <v>6.7796610169491522</v>
      </c>
      <c r="I28" s="59">
        <v>3</v>
      </c>
      <c r="J28" s="60">
        <v>5.0847457627118651</v>
      </c>
      <c r="K28" s="61">
        <v>1</v>
      </c>
      <c r="L28" s="63">
        <v>1.6949152542372881</v>
      </c>
      <c r="M28" s="59">
        <v>0</v>
      </c>
      <c r="N28" s="62">
        <v>0</v>
      </c>
    </row>
    <row r="29" spans="2:14" ht="15" customHeight="1" x14ac:dyDescent="0.25">
      <c r="B29" s="5" t="s">
        <v>194</v>
      </c>
      <c r="C29" s="7" t="s">
        <v>235</v>
      </c>
      <c r="D29" s="7" t="s">
        <v>235</v>
      </c>
      <c r="E29" s="3">
        <v>170303</v>
      </c>
      <c r="F29" s="17">
        <v>198</v>
      </c>
      <c r="G29" s="25">
        <v>27</v>
      </c>
      <c r="H29" s="30">
        <v>13.636363636363635</v>
      </c>
      <c r="I29" s="25">
        <v>20</v>
      </c>
      <c r="J29" s="21">
        <v>10.1010101010101</v>
      </c>
      <c r="K29" s="37">
        <v>7</v>
      </c>
      <c r="L29" s="31">
        <v>3.535353535353535</v>
      </c>
      <c r="M29" s="25">
        <v>0</v>
      </c>
      <c r="N29" s="30">
        <v>0</v>
      </c>
    </row>
    <row r="30" spans="2:14" ht="15" customHeight="1" x14ac:dyDescent="0.25">
      <c r="B30" s="5" t="s">
        <v>194</v>
      </c>
      <c r="C30" s="7" t="s">
        <v>238</v>
      </c>
      <c r="D30" s="7" t="s">
        <v>239</v>
      </c>
      <c r="E30" s="3">
        <v>170103</v>
      </c>
      <c r="F30" s="58">
        <v>741</v>
      </c>
      <c r="G30" s="59">
        <v>98</v>
      </c>
      <c r="H30" s="62">
        <v>13.225371120107962</v>
      </c>
      <c r="I30" s="59">
        <v>80</v>
      </c>
      <c r="J30" s="60">
        <v>10.796221322537113</v>
      </c>
      <c r="K30" s="61">
        <v>18</v>
      </c>
      <c r="L30" s="63">
        <v>2.42914979757085</v>
      </c>
      <c r="M30" s="59">
        <v>0</v>
      </c>
      <c r="N30" s="62">
        <v>0</v>
      </c>
    </row>
    <row r="31" spans="2:14" ht="15" customHeight="1" x14ac:dyDescent="0.25">
      <c r="B31" s="5" t="s">
        <v>194</v>
      </c>
      <c r="C31" s="7" t="s">
        <v>238</v>
      </c>
      <c r="D31" s="7" t="s">
        <v>238</v>
      </c>
      <c r="E31" s="3">
        <v>170101</v>
      </c>
      <c r="F31" s="58">
        <v>3047</v>
      </c>
      <c r="G31" s="59">
        <v>384</v>
      </c>
      <c r="H31" s="62">
        <v>12.602559894978668</v>
      </c>
      <c r="I31" s="59">
        <v>278</v>
      </c>
      <c r="J31" s="60">
        <v>9.1237282573022647</v>
      </c>
      <c r="K31" s="61">
        <v>106</v>
      </c>
      <c r="L31" s="63">
        <v>3.4788316376764028</v>
      </c>
      <c r="M31" s="59">
        <v>0</v>
      </c>
      <c r="N31" s="62">
        <v>0</v>
      </c>
    </row>
    <row r="32" spans="2:14" ht="15" customHeight="1" x14ac:dyDescent="0.25">
      <c r="B32" s="5" t="s">
        <v>197</v>
      </c>
      <c r="C32" s="7" t="s">
        <v>240</v>
      </c>
      <c r="D32" s="7" t="s">
        <v>240</v>
      </c>
      <c r="E32" s="3">
        <v>200201</v>
      </c>
      <c r="F32" s="58">
        <v>1125</v>
      </c>
      <c r="G32" s="59">
        <v>553</v>
      </c>
      <c r="H32" s="62">
        <v>49.155555555555559</v>
      </c>
      <c r="I32" s="59">
        <v>342</v>
      </c>
      <c r="J32" s="60">
        <v>30.4</v>
      </c>
      <c r="K32" s="61">
        <v>209</v>
      </c>
      <c r="L32" s="63">
        <v>18.577777777777776</v>
      </c>
      <c r="M32" s="59">
        <v>2</v>
      </c>
      <c r="N32" s="62">
        <v>0.17777777777777778</v>
      </c>
    </row>
    <row r="33" spans="2:14" ht="15" customHeight="1" x14ac:dyDescent="0.25">
      <c r="B33" s="5" t="s">
        <v>197</v>
      </c>
      <c r="C33" s="7" t="s">
        <v>240</v>
      </c>
      <c r="D33" s="7" t="s">
        <v>241</v>
      </c>
      <c r="E33" s="3">
        <v>200203</v>
      </c>
      <c r="F33" s="17">
        <v>92</v>
      </c>
      <c r="G33" s="25">
        <v>25</v>
      </c>
      <c r="H33" s="30">
        <v>27.173913043478258</v>
      </c>
      <c r="I33" s="25">
        <v>24</v>
      </c>
      <c r="J33" s="21">
        <v>26.086956521739129</v>
      </c>
      <c r="K33" s="37">
        <v>1</v>
      </c>
      <c r="L33" s="31">
        <v>1.0869565217391304</v>
      </c>
      <c r="M33" s="25">
        <v>0</v>
      </c>
      <c r="N33" s="30">
        <v>0</v>
      </c>
    </row>
    <row r="34" spans="2:14" ht="15" customHeight="1" x14ac:dyDescent="0.25">
      <c r="B34" s="5" t="s">
        <v>197</v>
      </c>
      <c r="C34" s="7" t="s">
        <v>240</v>
      </c>
      <c r="D34" s="7" t="s">
        <v>242</v>
      </c>
      <c r="E34" s="3">
        <v>200210</v>
      </c>
      <c r="F34" s="58">
        <v>463</v>
      </c>
      <c r="G34" s="59">
        <v>23</v>
      </c>
      <c r="H34" s="62">
        <v>4.967602591792657</v>
      </c>
      <c r="I34" s="59">
        <v>15</v>
      </c>
      <c r="J34" s="60">
        <v>3.2397408207343417</v>
      </c>
      <c r="K34" s="61">
        <v>8</v>
      </c>
      <c r="L34" s="63">
        <v>1.7278617710583155</v>
      </c>
      <c r="M34" s="59">
        <v>0</v>
      </c>
      <c r="N34" s="62">
        <v>0</v>
      </c>
    </row>
    <row r="35" spans="2:14" ht="15" customHeight="1" x14ac:dyDescent="0.25">
      <c r="B35" s="5" t="s">
        <v>197</v>
      </c>
      <c r="C35" s="7" t="s">
        <v>243</v>
      </c>
      <c r="D35" s="7" t="s">
        <v>244</v>
      </c>
      <c r="E35" s="3">
        <v>200303</v>
      </c>
      <c r="F35" s="58">
        <v>416</v>
      </c>
      <c r="G35" s="59">
        <v>38</v>
      </c>
      <c r="H35" s="62">
        <v>9.1346153846153832</v>
      </c>
      <c r="I35" s="59">
        <v>34</v>
      </c>
      <c r="J35" s="60">
        <v>8.1730769230769234</v>
      </c>
      <c r="K35" s="61">
        <v>4</v>
      </c>
      <c r="L35" s="63">
        <v>0.96153846153846156</v>
      </c>
      <c r="M35" s="59">
        <v>0</v>
      </c>
      <c r="N35" s="62">
        <v>0</v>
      </c>
    </row>
    <row r="36" spans="2:14" ht="15" customHeight="1" x14ac:dyDescent="0.25">
      <c r="B36" s="5" t="s">
        <v>197</v>
      </c>
      <c r="C36" s="7" t="s">
        <v>245</v>
      </c>
      <c r="D36" s="7" t="s">
        <v>246</v>
      </c>
      <c r="E36" s="3">
        <v>200604</v>
      </c>
      <c r="F36" s="58">
        <v>465</v>
      </c>
      <c r="G36" s="59">
        <v>12</v>
      </c>
      <c r="H36" s="62">
        <v>2.5806451612903225</v>
      </c>
      <c r="I36" s="59">
        <v>9</v>
      </c>
      <c r="J36" s="60">
        <v>1.935483870967742</v>
      </c>
      <c r="K36" s="61">
        <v>3</v>
      </c>
      <c r="L36" s="63">
        <v>0.64516129032258063</v>
      </c>
      <c r="M36" s="59">
        <v>0</v>
      </c>
      <c r="N36" s="62">
        <v>0</v>
      </c>
    </row>
    <row r="37" spans="2:14" ht="15" customHeight="1" x14ac:dyDescent="0.25">
      <c r="B37" s="5" t="s">
        <v>198</v>
      </c>
      <c r="C37" s="7" t="s">
        <v>247</v>
      </c>
      <c r="D37" s="7" t="s">
        <v>248</v>
      </c>
      <c r="E37" s="3">
        <v>210402</v>
      </c>
      <c r="F37" s="58">
        <v>241</v>
      </c>
      <c r="G37" s="59">
        <v>80</v>
      </c>
      <c r="H37" s="62">
        <v>33.195020746887963</v>
      </c>
      <c r="I37" s="59">
        <v>59</v>
      </c>
      <c r="J37" s="60">
        <v>24.481327800829874</v>
      </c>
      <c r="K37" s="61">
        <v>20</v>
      </c>
      <c r="L37" s="63">
        <v>8.2987551867219906</v>
      </c>
      <c r="M37" s="59">
        <v>1</v>
      </c>
      <c r="N37" s="62">
        <v>0.41493775933609961</v>
      </c>
    </row>
    <row r="38" spans="2:14" ht="15" customHeight="1" x14ac:dyDescent="0.25">
      <c r="B38" s="5" t="s">
        <v>198</v>
      </c>
      <c r="C38" s="7" t="s">
        <v>247</v>
      </c>
      <c r="D38" s="7" t="s">
        <v>249</v>
      </c>
      <c r="E38" s="3">
        <v>210401</v>
      </c>
      <c r="F38" s="58">
        <v>375</v>
      </c>
      <c r="G38" s="59">
        <v>79</v>
      </c>
      <c r="H38" s="62">
        <v>21.066666666666666</v>
      </c>
      <c r="I38" s="59">
        <v>48</v>
      </c>
      <c r="J38" s="60">
        <v>12.8</v>
      </c>
      <c r="K38" s="61">
        <v>30</v>
      </c>
      <c r="L38" s="63">
        <v>8</v>
      </c>
      <c r="M38" s="59">
        <v>1</v>
      </c>
      <c r="N38" s="62">
        <v>0.26666666666666666</v>
      </c>
    </row>
    <row r="39" spans="2:14" ht="15" customHeight="1" x14ac:dyDescent="0.25">
      <c r="B39" s="5" t="s">
        <v>198</v>
      </c>
      <c r="C39" s="7" t="s">
        <v>247</v>
      </c>
      <c r="D39" s="7" t="s">
        <v>250</v>
      </c>
      <c r="E39" s="3">
        <v>210404</v>
      </c>
      <c r="F39" s="58">
        <v>76</v>
      </c>
      <c r="G39" s="59">
        <v>22</v>
      </c>
      <c r="H39" s="62">
        <v>28.947368421052634</v>
      </c>
      <c r="I39" s="59">
        <v>15</v>
      </c>
      <c r="J39" s="60">
        <v>19.736842105263158</v>
      </c>
      <c r="K39" s="61">
        <v>7</v>
      </c>
      <c r="L39" s="63">
        <v>9.2105263157894726</v>
      </c>
      <c r="M39" s="59">
        <v>0</v>
      </c>
      <c r="N39" s="62">
        <v>0</v>
      </c>
    </row>
    <row r="40" spans="2:14" ht="15" customHeight="1" x14ac:dyDescent="0.25">
      <c r="B40" s="5" t="s">
        <v>198</v>
      </c>
      <c r="C40" s="7" t="s">
        <v>247</v>
      </c>
      <c r="D40" s="7" t="s">
        <v>251</v>
      </c>
      <c r="E40" s="3">
        <v>210405</v>
      </c>
      <c r="F40" s="17">
        <v>57</v>
      </c>
      <c r="G40" s="25">
        <v>14</v>
      </c>
      <c r="H40" s="30">
        <v>24.561403508771928</v>
      </c>
      <c r="I40" s="25">
        <v>11</v>
      </c>
      <c r="J40" s="21">
        <v>19.298245614035086</v>
      </c>
      <c r="K40" s="37">
        <v>3</v>
      </c>
      <c r="L40" s="31">
        <v>5.2631578947368416</v>
      </c>
      <c r="M40" s="25">
        <v>0</v>
      </c>
      <c r="N40" s="30">
        <v>0</v>
      </c>
    </row>
    <row r="41" spans="2:14" ht="15" customHeight="1" x14ac:dyDescent="0.25">
      <c r="B41" s="5" t="s">
        <v>198</v>
      </c>
      <c r="C41" s="7" t="s">
        <v>247</v>
      </c>
      <c r="D41" s="7" t="s">
        <v>252</v>
      </c>
      <c r="E41" s="3">
        <v>210406</v>
      </c>
      <c r="F41" s="58">
        <v>222</v>
      </c>
      <c r="G41" s="59">
        <v>19</v>
      </c>
      <c r="H41" s="62">
        <v>8.5585585585585591</v>
      </c>
      <c r="I41" s="59">
        <v>11</v>
      </c>
      <c r="J41" s="60">
        <v>4.954954954954955</v>
      </c>
      <c r="K41" s="61">
        <v>7</v>
      </c>
      <c r="L41" s="63">
        <v>3.1531531531531529</v>
      </c>
      <c r="M41" s="59">
        <v>1</v>
      </c>
      <c r="N41" s="62">
        <v>0.45045045045045046</v>
      </c>
    </row>
    <row r="42" spans="2:14" ht="15" customHeight="1" x14ac:dyDescent="0.25">
      <c r="B42" s="5" t="s">
        <v>198</v>
      </c>
      <c r="C42" s="7" t="s">
        <v>247</v>
      </c>
      <c r="D42" s="7" t="s">
        <v>253</v>
      </c>
      <c r="E42" s="3">
        <v>210407</v>
      </c>
      <c r="F42" s="58">
        <v>326</v>
      </c>
      <c r="G42" s="59">
        <v>117</v>
      </c>
      <c r="H42" s="62">
        <v>35.889570552147241</v>
      </c>
      <c r="I42" s="59">
        <v>103</v>
      </c>
      <c r="J42" s="60">
        <v>31.595092024539877</v>
      </c>
      <c r="K42" s="61">
        <v>13</v>
      </c>
      <c r="L42" s="63">
        <v>3.9877300613496933</v>
      </c>
      <c r="M42" s="59">
        <v>1</v>
      </c>
      <c r="N42" s="62">
        <v>0.30674846625766872</v>
      </c>
    </row>
    <row r="43" spans="2:14" ht="15" customHeight="1" x14ac:dyDescent="0.25">
      <c r="B43" s="5" t="s">
        <v>198</v>
      </c>
      <c r="C43" s="7" t="s">
        <v>254</v>
      </c>
      <c r="D43" s="7" t="s">
        <v>255</v>
      </c>
      <c r="E43" s="3">
        <v>210502</v>
      </c>
      <c r="F43" s="17">
        <v>11</v>
      </c>
      <c r="G43" s="25">
        <v>1</v>
      </c>
      <c r="H43" s="30">
        <v>9.0909090909090917</v>
      </c>
      <c r="I43" s="25">
        <v>1</v>
      </c>
      <c r="J43" s="21">
        <v>9.0909090909090917</v>
      </c>
      <c r="K43" s="37">
        <v>0</v>
      </c>
      <c r="L43" s="31">
        <v>0</v>
      </c>
      <c r="M43" s="25">
        <v>0</v>
      </c>
      <c r="N43" s="30">
        <v>0</v>
      </c>
    </row>
    <row r="44" spans="2:14" ht="15" customHeight="1" x14ac:dyDescent="0.25">
      <c r="B44" s="5" t="s">
        <v>198</v>
      </c>
      <c r="C44" s="7" t="s">
        <v>254</v>
      </c>
      <c r="D44" s="7" t="s">
        <v>256</v>
      </c>
      <c r="E44" s="3">
        <v>210501</v>
      </c>
      <c r="F44" s="58">
        <v>1089</v>
      </c>
      <c r="G44" s="59">
        <v>232</v>
      </c>
      <c r="H44" s="62">
        <v>21.30394857667585</v>
      </c>
      <c r="I44" s="59">
        <v>178</v>
      </c>
      <c r="J44" s="60">
        <v>16.345270890725434</v>
      </c>
      <c r="K44" s="61">
        <v>52</v>
      </c>
      <c r="L44" s="63">
        <v>4.7750229568411386</v>
      </c>
      <c r="M44" s="59">
        <v>2</v>
      </c>
      <c r="N44" s="62">
        <v>0.18365472910927455</v>
      </c>
    </row>
    <row r="45" spans="2:14" ht="15" customHeight="1" x14ac:dyDescent="0.25">
      <c r="B45" s="5" t="s">
        <v>198</v>
      </c>
      <c r="C45" s="7" t="s">
        <v>254</v>
      </c>
      <c r="D45" s="7" t="s">
        <v>257</v>
      </c>
      <c r="E45" s="3">
        <v>210503</v>
      </c>
      <c r="F45" s="58">
        <v>127</v>
      </c>
      <c r="G45" s="59">
        <v>10</v>
      </c>
      <c r="H45" s="62">
        <v>7.8740157480314963</v>
      </c>
      <c r="I45" s="59">
        <v>7</v>
      </c>
      <c r="J45" s="60">
        <v>5.5118110236220472</v>
      </c>
      <c r="K45" s="61">
        <v>3</v>
      </c>
      <c r="L45" s="63">
        <v>2.3622047244094486</v>
      </c>
      <c r="M45" s="59">
        <v>0</v>
      </c>
      <c r="N45" s="62">
        <v>0</v>
      </c>
    </row>
    <row r="46" spans="2:14" ht="15" customHeight="1" x14ac:dyDescent="0.25">
      <c r="B46" s="5" t="s">
        <v>198</v>
      </c>
      <c r="C46" s="7" t="s">
        <v>258</v>
      </c>
      <c r="D46" s="7" t="s">
        <v>259</v>
      </c>
      <c r="E46" s="3">
        <v>210602</v>
      </c>
      <c r="F46" s="17">
        <v>66</v>
      </c>
      <c r="G46" s="25">
        <v>7</v>
      </c>
      <c r="H46" s="30">
        <v>10.606060606060606</v>
      </c>
      <c r="I46" s="25">
        <v>4</v>
      </c>
      <c r="J46" s="21">
        <v>6.0606060606060606</v>
      </c>
      <c r="K46" s="37">
        <v>3</v>
      </c>
      <c r="L46" s="31">
        <v>4.5454545454545459</v>
      </c>
      <c r="M46" s="25">
        <v>0</v>
      </c>
      <c r="N46" s="30">
        <v>0</v>
      </c>
    </row>
    <row r="47" spans="2:14" ht="15" customHeight="1" x14ac:dyDescent="0.25">
      <c r="B47" s="5" t="s">
        <v>198</v>
      </c>
      <c r="C47" s="7" t="s">
        <v>258</v>
      </c>
      <c r="D47" s="7" t="s">
        <v>258</v>
      </c>
      <c r="E47" s="3">
        <v>210601</v>
      </c>
      <c r="F47" s="58">
        <v>424</v>
      </c>
      <c r="G47" s="59">
        <v>112</v>
      </c>
      <c r="H47" s="62">
        <v>26.415094339622641</v>
      </c>
      <c r="I47" s="59">
        <v>70</v>
      </c>
      <c r="J47" s="60">
        <v>16.509433962264151</v>
      </c>
      <c r="K47" s="61">
        <v>39</v>
      </c>
      <c r="L47" s="63">
        <v>9.1981132075471699</v>
      </c>
      <c r="M47" s="59">
        <v>3</v>
      </c>
      <c r="N47" s="62">
        <v>0.70754716981132082</v>
      </c>
    </row>
    <row r="48" spans="2:14" ht="15" customHeight="1" x14ac:dyDescent="0.25">
      <c r="B48" s="5" t="s">
        <v>198</v>
      </c>
      <c r="C48" s="7" t="s">
        <v>258</v>
      </c>
      <c r="D48" s="7" t="s">
        <v>260</v>
      </c>
      <c r="E48" s="3">
        <v>210605</v>
      </c>
      <c r="F48" s="17">
        <v>99</v>
      </c>
      <c r="G48" s="25">
        <v>1</v>
      </c>
      <c r="H48" s="30">
        <v>1.0101010101010102</v>
      </c>
      <c r="I48" s="25">
        <v>1</v>
      </c>
      <c r="J48" s="21">
        <v>1.0101010101010102</v>
      </c>
      <c r="K48" s="37">
        <v>0</v>
      </c>
      <c r="L48" s="31">
        <v>0</v>
      </c>
      <c r="M48" s="25">
        <v>0</v>
      </c>
      <c r="N48" s="30">
        <v>0</v>
      </c>
    </row>
    <row r="49" spans="2:14" ht="15" customHeight="1" x14ac:dyDescent="0.25">
      <c r="B49" s="5" t="s">
        <v>198</v>
      </c>
      <c r="C49" s="7" t="s">
        <v>258</v>
      </c>
      <c r="D49" s="7" t="s">
        <v>261</v>
      </c>
      <c r="E49" s="3">
        <v>210607</v>
      </c>
      <c r="F49" s="58">
        <v>298</v>
      </c>
      <c r="G49" s="59">
        <v>34</v>
      </c>
      <c r="H49" s="62">
        <v>11.409395973154362</v>
      </c>
      <c r="I49" s="59">
        <v>32</v>
      </c>
      <c r="J49" s="60">
        <v>10.738255033557047</v>
      </c>
      <c r="K49" s="61">
        <v>2</v>
      </c>
      <c r="L49" s="63">
        <v>0.67114093959731547</v>
      </c>
      <c r="M49" s="59">
        <v>0</v>
      </c>
      <c r="N49" s="62">
        <v>0</v>
      </c>
    </row>
    <row r="50" spans="2:14" ht="15" customHeight="1" x14ac:dyDescent="0.25">
      <c r="B50" s="5" t="s">
        <v>198</v>
      </c>
      <c r="C50" s="7" t="s">
        <v>258</v>
      </c>
      <c r="D50" s="7" t="s">
        <v>262</v>
      </c>
      <c r="E50" s="3">
        <v>210608</v>
      </c>
      <c r="F50" s="58">
        <v>100</v>
      </c>
      <c r="G50" s="59">
        <v>4</v>
      </c>
      <c r="H50" s="62">
        <v>4</v>
      </c>
      <c r="I50" s="59">
        <v>4</v>
      </c>
      <c r="J50" s="60">
        <v>4</v>
      </c>
      <c r="K50" s="61">
        <v>0</v>
      </c>
      <c r="L50" s="63">
        <v>0</v>
      </c>
      <c r="M50" s="59">
        <v>0</v>
      </c>
      <c r="N50" s="62">
        <v>0</v>
      </c>
    </row>
    <row r="51" spans="2:14" ht="15" customHeight="1" x14ac:dyDescent="0.25">
      <c r="B51" s="5" t="s">
        <v>198</v>
      </c>
      <c r="C51" s="7" t="s">
        <v>263</v>
      </c>
      <c r="D51" s="7" t="s">
        <v>264</v>
      </c>
      <c r="E51" s="3">
        <v>210902</v>
      </c>
      <c r="F51" s="58">
        <v>47</v>
      </c>
      <c r="G51" s="59">
        <v>10</v>
      </c>
      <c r="H51" s="62">
        <v>21.276595744680851</v>
      </c>
      <c r="I51" s="59">
        <v>7</v>
      </c>
      <c r="J51" s="60">
        <v>14.893617021276595</v>
      </c>
      <c r="K51" s="61">
        <v>3</v>
      </c>
      <c r="L51" s="63">
        <v>6.3829787234042552</v>
      </c>
      <c r="M51" s="59">
        <v>0</v>
      </c>
      <c r="N51" s="62">
        <v>0</v>
      </c>
    </row>
    <row r="52" spans="2:14" ht="15" customHeight="1" x14ac:dyDescent="0.25">
      <c r="B52" s="5" t="s">
        <v>198</v>
      </c>
      <c r="C52" s="7" t="s">
        <v>263</v>
      </c>
      <c r="D52" s="7" t="s">
        <v>265</v>
      </c>
      <c r="E52" s="3">
        <v>210903</v>
      </c>
      <c r="F52" s="58">
        <v>65</v>
      </c>
      <c r="G52" s="59">
        <v>6</v>
      </c>
      <c r="H52" s="62">
        <v>9.2307692307692317</v>
      </c>
      <c r="I52" s="59">
        <v>6</v>
      </c>
      <c r="J52" s="60">
        <v>9.2307692307692317</v>
      </c>
      <c r="K52" s="61">
        <v>0</v>
      </c>
      <c r="L52" s="63">
        <v>0</v>
      </c>
      <c r="M52" s="59">
        <v>0</v>
      </c>
      <c r="N52" s="62">
        <v>0</v>
      </c>
    </row>
    <row r="53" spans="2:14" ht="15" customHeight="1" x14ac:dyDescent="0.25">
      <c r="B53" s="5" t="s">
        <v>198</v>
      </c>
      <c r="C53" s="7" t="s">
        <v>263</v>
      </c>
      <c r="D53" s="7" t="s">
        <v>263</v>
      </c>
      <c r="E53" s="3">
        <v>210901</v>
      </c>
      <c r="F53" s="58">
        <v>241</v>
      </c>
      <c r="G53" s="59">
        <v>14</v>
      </c>
      <c r="H53" s="62">
        <v>5.809128630705394</v>
      </c>
      <c r="I53" s="59">
        <v>13</v>
      </c>
      <c r="J53" s="60">
        <v>5.394190871369295</v>
      </c>
      <c r="K53" s="61">
        <v>1</v>
      </c>
      <c r="L53" s="63">
        <v>0.41493775933609961</v>
      </c>
      <c r="M53" s="59">
        <v>0</v>
      </c>
      <c r="N53" s="62">
        <v>0</v>
      </c>
    </row>
    <row r="54" spans="2:14" ht="15" customHeight="1" x14ac:dyDescent="0.25">
      <c r="B54" s="5" t="s">
        <v>198</v>
      </c>
      <c r="C54" s="7" t="s">
        <v>263</v>
      </c>
      <c r="D54" s="7" t="s">
        <v>266</v>
      </c>
      <c r="E54" s="3">
        <v>210904</v>
      </c>
      <c r="F54" s="58">
        <v>48</v>
      </c>
      <c r="G54" s="59">
        <v>6</v>
      </c>
      <c r="H54" s="62">
        <v>12.5</v>
      </c>
      <c r="I54" s="59">
        <v>6</v>
      </c>
      <c r="J54" s="60">
        <v>12.5</v>
      </c>
      <c r="K54" s="61">
        <v>0</v>
      </c>
      <c r="L54" s="63">
        <v>0</v>
      </c>
      <c r="M54" s="59">
        <v>0</v>
      </c>
      <c r="N54" s="62">
        <v>0</v>
      </c>
    </row>
    <row r="55" spans="2:14" ht="15" customHeight="1" x14ac:dyDescent="0.25">
      <c r="B55" s="5" t="s">
        <v>198</v>
      </c>
      <c r="C55" s="7" t="s">
        <v>198</v>
      </c>
      <c r="D55" s="7" t="s">
        <v>267</v>
      </c>
      <c r="E55" s="3">
        <v>210102</v>
      </c>
      <c r="F55" s="58">
        <v>381</v>
      </c>
      <c r="G55" s="59">
        <v>49</v>
      </c>
      <c r="H55" s="62">
        <v>12.860892388451445</v>
      </c>
      <c r="I55" s="59">
        <v>41</v>
      </c>
      <c r="J55" s="60">
        <v>10.761154855643044</v>
      </c>
      <c r="K55" s="61">
        <v>7</v>
      </c>
      <c r="L55" s="63">
        <v>1.837270341207349</v>
      </c>
      <c r="M55" s="59">
        <v>1</v>
      </c>
      <c r="N55" s="62">
        <v>0.26246719160104987</v>
      </c>
    </row>
    <row r="56" spans="2:14" ht="15" customHeight="1" x14ac:dyDescent="0.25">
      <c r="B56" s="5" t="s">
        <v>198</v>
      </c>
      <c r="C56" s="7" t="s">
        <v>198</v>
      </c>
      <c r="D56" s="7" t="s">
        <v>268</v>
      </c>
      <c r="E56" s="3">
        <v>210103</v>
      </c>
      <c r="F56" s="58">
        <v>72</v>
      </c>
      <c r="G56" s="59">
        <v>15</v>
      </c>
      <c r="H56" s="62">
        <v>20.833333333333336</v>
      </c>
      <c r="I56" s="59">
        <v>13</v>
      </c>
      <c r="J56" s="60">
        <v>18.055555555555554</v>
      </c>
      <c r="K56" s="61">
        <v>2</v>
      </c>
      <c r="L56" s="63">
        <v>2.7777777777777777</v>
      </c>
      <c r="M56" s="59">
        <v>0</v>
      </c>
      <c r="N56" s="62">
        <v>0</v>
      </c>
    </row>
    <row r="57" spans="2:14" ht="15" customHeight="1" x14ac:dyDescent="0.25">
      <c r="B57" s="5" t="s">
        <v>198</v>
      </c>
      <c r="C57" s="7" t="s">
        <v>198</v>
      </c>
      <c r="D57" s="7" t="s">
        <v>269</v>
      </c>
      <c r="E57" s="3">
        <v>210105</v>
      </c>
      <c r="F57" s="58">
        <v>166</v>
      </c>
      <c r="G57" s="59">
        <v>29</v>
      </c>
      <c r="H57" s="62">
        <v>17.46987951807229</v>
      </c>
      <c r="I57" s="59">
        <v>19</v>
      </c>
      <c r="J57" s="60">
        <v>11.445783132530121</v>
      </c>
      <c r="K57" s="61">
        <v>8</v>
      </c>
      <c r="L57" s="63">
        <v>4.8192771084337354</v>
      </c>
      <c r="M57" s="59">
        <v>2</v>
      </c>
      <c r="N57" s="62">
        <v>1.2048192771084338</v>
      </c>
    </row>
    <row r="58" spans="2:14" ht="15" customHeight="1" x14ac:dyDescent="0.25">
      <c r="B58" s="5" t="s">
        <v>198</v>
      </c>
      <c r="C58" s="7" t="s">
        <v>198</v>
      </c>
      <c r="D58" s="7" t="s">
        <v>247</v>
      </c>
      <c r="E58" s="3">
        <v>210106</v>
      </c>
      <c r="F58" s="58">
        <v>134</v>
      </c>
      <c r="G58" s="59">
        <v>35</v>
      </c>
      <c r="H58" s="62">
        <v>26.119402985074625</v>
      </c>
      <c r="I58" s="59">
        <v>22</v>
      </c>
      <c r="J58" s="60">
        <v>16.417910447761194</v>
      </c>
      <c r="K58" s="61">
        <v>13</v>
      </c>
      <c r="L58" s="63">
        <v>9.7014925373134329</v>
      </c>
      <c r="M58" s="59">
        <v>0</v>
      </c>
      <c r="N58" s="62">
        <v>0</v>
      </c>
    </row>
    <row r="59" spans="2:14" ht="15" customHeight="1" x14ac:dyDescent="0.25">
      <c r="B59" s="5" t="s">
        <v>198</v>
      </c>
      <c r="C59" s="7" t="s">
        <v>198</v>
      </c>
      <c r="D59" s="7" t="s">
        <v>270</v>
      </c>
      <c r="E59" s="3">
        <v>210107</v>
      </c>
      <c r="F59" s="58">
        <v>196</v>
      </c>
      <c r="G59" s="59">
        <v>59</v>
      </c>
      <c r="H59" s="62">
        <v>30.102040816326532</v>
      </c>
      <c r="I59" s="59">
        <v>51</v>
      </c>
      <c r="J59" s="60">
        <v>26.020408163265309</v>
      </c>
      <c r="K59" s="61">
        <v>7</v>
      </c>
      <c r="L59" s="63">
        <v>3.5714285714285712</v>
      </c>
      <c r="M59" s="59">
        <v>1</v>
      </c>
      <c r="N59" s="62">
        <v>0.51020408163265307</v>
      </c>
    </row>
    <row r="60" spans="2:14" ht="15" customHeight="1" x14ac:dyDescent="0.25">
      <c r="B60" s="5" t="s">
        <v>198</v>
      </c>
      <c r="C60" s="7" t="s">
        <v>198</v>
      </c>
      <c r="D60" s="7" t="s">
        <v>271</v>
      </c>
      <c r="E60" s="3">
        <v>210108</v>
      </c>
      <c r="F60" s="58">
        <v>89</v>
      </c>
      <c r="G60" s="59">
        <v>31</v>
      </c>
      <c r="H60" s="62">
        <v>34.831460674157306</v>
      </c>
      <c r="I60" s="59">
        <v>22</v>
      </c>
      <c r="J60" s="60">
        <v>24.719101123595504</v>
      </c>
      <c r="K60" s="61">
        <v>8</v>
      </c>
      <c r="L60" s="63">
        <v>8.9887640449438209</v>
      </c>
      <c r="M60" s="59">
        <v>1</v>
      </c>
      <c r="N60" s="62">
        <v>1.1235955056179776</v>
      </c>
    </row>
    <row r="61" spans="2:14" ht="15" customHeight="1" x14ac:dyDescent="0.25">
      <c r="B61" s="5" t="s">
        <v>198</v>
      </c>
      <c r="C61" s="7" t="s">
        <v>198</v>
      </c>
      <c r="D61" s="7" t="s">
        <v>272</v>
      </c>
      <c r="E61" s="3">
        <v>210110</v>
      </c>
      <c r="F61" s="58">
        <v>117</v>
      </c>
      <c r="G61" s="59">
        <v>12</v>
      </c>
      <c r="H61" s="62">
        <v>10.256410256410255</v>
      </c>
      <c r="I61" s="59">
        <v>8</v>
      </c>
      <c r="J61" s="60">
        <v>6.8376068376068382</v>
      </c>
      <c r="K61" s="61">
        <v>4</v>
      </c>
      <c r="L61" s="63">
        <v>3.4188034188034191</v>
      </c>
      <c r="M61" s="59">
        <v>0</v>
      </c>
      <c r="N61" s="62">
        <v>0</v>
      </c>
    </row>
    <row r="62" spans="2:14" ht="15" customHeight="1" x14ac:dyDescent="0.25">
      <c r="B62" s="5" t="s">
        <v>198</v>
      </c>
      <c r="C62" s="7" t="s">
        <v>198</v>
      </c>
      <c r="D62" s="7" t="s">
        <v>273</v>
      </c>
      <c r="E62" s="3">
        <v>210112</v>
      </c>
      <c r="F62" s="58">
        <v>109</v>
      </c>
      <c r="G62" s="59">
        <v>25</v>
      </c>
      <c r="H62" s="62">
        <v>22.935779816513762</v>
      </c>
      <c r="I62" s="59">
        <v>24</v>
      </c>
      <c r="J62" s="60">
        <v>22.018348623853214</v>
      </c>
      <c r="K62" s="61">
        <v>1</v>
      </c>
      <c r="L62" s="63">
        <v>0.91743119266055051</v>
      </c>
      <c r="M62" s="59">
        <v>0</v>
      </c>
      <c r="N62" s="62">
        <v>0</v>
      </c>
    </row>
    <row r="63" spans="2:14" ht="15" customHeight="1" x14ac:dyDescent="0.25">
      <c r="B63" s="5" t="s">
        <v>198</v>
      </c>
      <c r="C63" s="7" t="s">
        <v>198</v>
      </c>
      <c r="D63" s="7" t="s">
        <v>198</v>
      </c>
      <c r="E63" s="3">
        <v>210101</v>
      </c>
      <c r="F63" s="58">
        <v>2313</v>
      </c>
      <c r="G63" s="59">
        <v>414</v>
      </c>
      <c r="H63" s="62">
        <v>17.898832684824903</v>
      </c>
      <c r="I63" s="59">
        <v>362</v>
      </c>
      <c r="J63" s="60">
        <v>15.650670125378296</v>
      </c>
      <c r="K63" s="61">
        <v>49</v>
      </c>
      <c r="L63" s="63">
        <v>2.1184608733246866</v>
      </c>
      <c r="M63" s="59">
        <v>3</v>
      </c>
      <c r="N63" s="62">
        <v>0.12970168612191957</v>
      </c>
    </row>
    <row r="64" spans="2:14" ht="15" customHeight="1" x14ac:dyDescent="0.25">
      <c r="B64" s="5" t="s">
        <v>198</v>
      </c>
      <c r="C64" s="7" t="s">
        <v>274</v>
      </c>
      <c r="D64" s="7" t="s">
        <v>275</v>
      </c>
      <c r="E64" s="3">
        <v>211002</v>
      </c>
      <c r="F64" s="58">
        <v>92</v>
      </c>
      <c r="G64" s="59">
        <v>12</v>
      </c>
      <c r="H64" s="62">
        <v>13.043478260869565</v>
      </c>
      <c r="I64" s="59">
        <v>10</v>
      </c>
      <c r="J64" s="60">
        <v>10.869565217391305</v>
      </c>
      <c r="K64" s="61">
        <v>1</v>
      </c>
      <c r="L64" s="63">
        <v>1.0869565217391304</v>
      </c>
      <c r="M64" s="59">
        <v>1</v>
      </c>
      <c r="N64" s="62">
        <v>1.0869565217391304</v>
      </c>
    </row>
    <row r="65" spans="2:14" ht="15" customHeight="1" x14ac:dyDescent="0.25">
      <c r="B65" s="5" t="s">
        <v>198</v>
      </c>
      <c r="C65" s="7" t="s">
        <v>274</v>
      </c>
      <c r="D65" s="7" t="s">
        <v>276</v>
      </c>
      <c r="E65" s="3">
        <v>211005</v>
      </c>
      <c r="F65" s="58">
        <v>38</v>
      </c>
      <c r="G65" s="59">
        <v>0</v>
      </c>
      <c r="H65" s="62">
        <v>0</v>
      </c>
      <c r="I65" s="59">
        <v>0</v>
      </c>
      <c r="J65" s="60">
        <v>0</v>
      </c>
      <c r="K65" s="61">
        <v>0</v>
      </c>
      <c r="L65" s="63">
        <v>0</v>
      </c>
      <c r="M65" s="59">
        <v>0</v>
      </c>
      <c r="N65" s="62">
        <v>0</v>
      </c>
    </row>
    <row r="66" spans="2:14" ht="15" customHeight="1" x14ac:dyDescent="0.25">
      <c r="B66" s="5" t="s">
        <v>198</v>
      </c>
      <c r="C66" s="7" t="s">
        <v>277</v>
      </c>
      <c r="D66" s="7" t="s">
        <v>278</v>
      </c>
      <c r="E66" s="3">
        <v>211207</v>
      </c>
      <c r="F66" s="17">
        <v>80</v>
      </c>
      <c r="G66" s="25">
        <v>38</v>
      </c>
      <c r="H66" s="30">
        <v>47.5</v>
      </c>
      <c r="I66" s="25">
        <v>22</v>
      </c>
      <c r="J66" s="21">
        <v>27.500000000000004</v>
      </c>
      <c r="K66" s="37">
        <v>16</v>
      </c>
      <c r="L66" s="31">
        <v>20</v>
      </c>
      <c r="M66" s="25">
        <v>0</v>
      </c>
      <c r="N66" s="30">
        <v>0</v>
      </c>
    </row>
    <row r="67" spans="2:14" ht="15" customHeight="1" x14ac:dyDescent="0.25">
      <c r="B67" s="5" t="s">
        <v>198</v>
      </c>
      <c r="C67" s="7" t="s">
        <v>277</v>
      </c>
      <c r="D67" s="7" t="s">
        <v>279</v>
      </c>
      <c r="E67" s="3">
        <v>211210</v>
      </c>
      <c r="F67" s="58">
        <v>272</v>
      </c>
      <c r="G67" s="59">
        <v>111</v>
      </c>
      <c r="H67" s="62">
        <v>40.808823529411761</v>
      </c>
      <c r="I67" s="59">
        <v>79</v>
      </c>
      <c r="J67" s="60">
        <v>29.044117647058826</v>
      </c>
      <c r="K67" s="61">
        <v>32</v>
      </c>
      <c r="L67" s="63">
        <v>11.76470588235294</v>
      </c>
      <c r="M67" s="59">
        <v>0</v>
      </c>
      <c r="N67" s="62">
        <v>0</v>
      </c>
    </row>
    <row r="68" spans="2:14" ht="15" customHeight="1" x14ac:dyDescent="0.25">
      <c r="B68" s="5" t="s">
        <v>198</v>
      </c>
      <c r="C68" s="7" t="s">
        <v>277</v>
      </c>
      <c r="D68" s="7" t="s">
        <v>280</v>
      </c>
      <c r="E68" s="3">
        <v>211208</v>
      </c>
      <c r="F68" s="58">
        <v>52</v>
      </c>
      <c r="G68" s="59">
        <v>25</v>
      </c>
      <c r="H68" s="62">
        <v>48.07692307692308</v>
      </c>
      <c r="I68" s="59">
        <v>22</v>
      </c>
      <c r="J68" s="60">
        <v>42.307692307692307</v>
      </c>
      <c r="K68" s="61">
        <v>3</v>
      </c>
      <c r="L68" s="63">
        <v>5.7692307692307692</v>
      </c>
      <c r="M68" s="59">
        <v>0</v>
      </c>
      <c r="N68" s="62">
        <v>0</v>
      </c>
    </row>
    <row r="69" spans="2:14" ht="15" customHeight="1" x14ac:dyDescent="0.25">
      <c r="B69" s="5" t="s">
        <v>198</v>
      </c>
      <c r="C69" s="7" t="s">
        <v>281</v>
      </c>
      <c r="D69" s="7" t="s">
        <v>282</v>
      </c>
      <c r="E69" s="3">
        <v>211302</v>
      </c>
      <c r="F69" s="58">
        <v>16</v>
      </c>
      <c r="G69" s="59">
        <v>2</v>
      </c>
      <c r="H69" s="62">
        <v>12.5</v>
      </c>
      <c r="I69" s="59">
        <v>1</v>
      </c>
      <c r="J69" s="60">
        <v>6.25</v>
      </c>
      <c r="K69" s="61">
        <v>1</v>
      </c>
      <c r="L69" s="63">
        <v>6.25</v>
      </c>
      <c r="M69" s="59">
        <v>0</v>
      </c>
      <c r="N69" s="62">
        <v>0</v>
      </c>
    </row>
    <row r="70" spans="2:14" ht="15" customHeight="1" x14ac:dyDescent="0.25">
      <c r="B70" s="5" t="s">
        <v>198</v>
      </c>
      <c r="C70" s="7" t="s">
        <v>281</v>
      </c>
      <c r="D70" s="7" t="s">
        <v>283</v>
      </c>
      <c r="E70" s="3">
        <v>211303</v>
      </c>
      <c r="F70" s="58">
        <v>83</v>
      </c>
      <c r="G70" s="59">
        <v>23</v>
      </c>
      <c r="H70" s="62">
        <v>27.710843373493976</v>
      </c>
      <c r="I70" s="59">
        <v>18</v>
      </c>
      <c r="J70" s="60">
        <v>21.686746987951807</v>
      </c>
      <c r="K70" s="61">
        <v>5</v>
      </c>
      <c r="L70" s="63">
        <v>6.024096385542169</v>
      </c>
      <c r="M70" s="59">
        <v>0</v>
      </c>
      <c r="N70" s="62">
        <v>0</v>
      </c>
    </row>
    <row r="71" spans="2:14" ht="15" customHeight="1" x14ac:dyDescent="0.25">
      <c r="B71" s="5" t="s">
        <v>198</v>
      </c>
      <c r="C71" s="7" t="s">
        <v>281</v>
      </c>
      <c r="D71" s="7" t="s">
        <v>284</v>
      </c>
      <c r="E71" s="3">
        <v>211304</v>
      </c>
      <c r="F71" s="58">
        <v>17</v>
      </c>
      <c r="G71" s="59">
        <v>1</v>
      </c>
      <c r="H71" s="62">
        <v>5.8823529411764701</v>
      </c>
      <c r="I71" s="59">
        <v>1</v>
      </c>
      <c r="J71" s="60">
        <v>5.8823529411764701</v>
      </c>
      <c r="K71" s="61">
        <v>0</v>
      </c>
      <c r="L71" s="63">
        <v>0</v>
      </c>
      <c r="M71" s="59">
        <v>0</v>
      </c>
      <c r="N71" s="62">
        <v>0</v>
      </c>
    </row>
    <row r="72" spans="2:14" ht="15" customHeight="1" x14ac:dyDescent="0.25">
      <c r="B72" s="5" t="s">
        <v>198</v>
      </c>
      <c r="C72" s="7" t="s">
        <v>281</v>
      </c>
      <c r="D72" s="7" t="s">
        <v>285</v>
      </c>
      <c r="E72" s="3">
        <v>211305</v>
      </c>
      <c r="F72" s="64">
        <v>30</v>
      </c>
      <c r="G72" s="65">
        <v>5</v>
      </c>
      <c r="H72" s="66">
        <v>16.666666666666664</v>
      </c>
      <c r="I72" s="65">
        <v>2</v>
      </c>
      <c r="J72" s="67">
        <v>6.666666666666667</v>
      </c>
      <c r="K72" s="68">
        <v>3</v>
      </c>
      <c r="L72" s="69">
        <v>10</v>
      </c>
      <c r="M72" s="65">
        <v>0</v>
      </c>
      <c r="N72" s="66">
        <v>0</v>
      </c>
    </row>
    <row r="73" spans="2:14" ht="15" customHeight="1" x14ac:dyDescent="0.25">
      <c r="B73" s="5" t="s">
        <v>198</v>
      </c>
      <c r="C73" s="7" t="s">
        <v>281</v>
      </c>
      <c r="D73" s="7" t="s">
        <v>286</v>
      </c>
      <c r="E73" s="3">
        <v>211306</v>
      </c>
      <c r="F73" s="58">
        <v>16</v>
      </c>
      <c r="G73" s="59">
        <v>0</v>
      </c>
      <c r="H73" s="62">
        <v>0</v>
      </c>
      <c r="I73" s="59">
        <v>0</v>
      </c>
      <c r="J73" s="60">
        <v>0</v>
      </c>
      <c r="K73" s="61">
        <v>0</v>
      </c>
      <c r="L73" s="63">
        <v>0</v>
      </c>
      <c r="M73" s="59">
        <v>0</v>
      </c>
      <c r="N73" s="62">
        <v>0</v>
      </c>
    </row>
    <row r="74" spans="2:14" ht="15" customHeight="1" x14ac:dyDescent="0.25">
      <c r="B74" s="5" t="s">
        <v>198</v>
      </c>
      <c r="C74" s="7" t="s">
        <v>281</v>
      </c>
      <c r="D74" s="7" t="s">
        <v>287</v>
      </c>
      <c r="E74" s="3">
        <v>211307</v>
      </c>
      <c r="F74" s="17">
        <v>15</v>
      </c>
      <c r="G74" s="25">
        <v>4</v>
      </c>
      <c r="H74" s="30">
        <v>26.666666666666668</v>
      </c>
      <c r="I74" s="25">
        <v>4</v>
      </c>
      <c r="J74" s="21">
        <v>26.666666666666668</v>
      </c>
      <c r="K74" s="37">
        <v>0</v>
      </c>
      <c r="L74" s="31">
        <v>0</v>
      </c>
      <c r="M74" s="25">
        <v>0</v>
      </c>
      <c r="N74" s="30">
        <v>0</v>
      </c>
    </row>
    <row r="75" spans="2:14" ht="15" customHeight="1" x14ac:dyDescent="0.25">
      <c r="B75" s="5" t="s">
        <v>198</v>
      </c>
      <c r="C75" s="7" t="s">
        <v>281</v>
      </c>
      <c r="D75" s="7" t="s">
        <v>281</v>
      </c>
      <c r="E75" s="3">
        <v>211301</v>
      </c>
      <c r="F75" s="58">
        <v>548</v>
      </c>
      <c r="G75" s="59">
        <v>163</v>
      </c>
      <c r="H75" s="62">
        <v>29.744525547445257</v>
      </c>
      <c r="I75" s="59">
        <v>130</v>
      </c>
      <c r="J75" s="60">
        <v>23.722627737226276</v>
      </c>
      <c r="K75" s="61">
        <v>32</v>
      </c>
      <c r="L75" s="63">
        <v>5.8394160583941606</v>
      </c>
      <c r="M75" s="59">
        <v>1</v>
      </c>
      <c r="N75" s="62">
        <v>0.18248175182481752</v>
      </c>
    </row>
    <row r="76" spans="2:14" ht="15" customHeight="1" x14ac:dyDescent="0.25">
      <c r="B76" s="5" t="s">
        <v>200</v>
      </c>
      <c r="C76" s="7" t="s">
        <v>200</v>
      </c>
      <c r="D76" s="7" t="s">
        <v>288</v>
      </c>
      <c r="E76" s="3">
        <v>230111</v>
      </c>
      <c r="F76" s="58">
        <v>275</v>
      </c>
      <c r="G76" s="59">
        <v>29</v>
      </c>
      <c r="H76" s="62">
        <v>10.545454545454545</v>
      </c>
      <c r="I76" s="59">
        <v>23</v>
      </c>
      <c r="J76" s="60">
        <v>8.3636363636363633</v>
      </c>
      <c r="K76" s="61">
        <v>6</v>
      </c>
      <c r="L76" s="63">
        <v>2.1818181818181821</v>
      </c>
      <c r="M76" s="59">
        <v>0</v>
      </c>
      <c r="N76" s="62">
        <v>0</v>
      </c>
    </row>
    <row r="77" spans="2:14" ht="15" customHeight="1" x14ac:dyDescent="0.25">
      <c r="B77" s="5" t="s">
        <v>200</v>
      </c>
      <c r="C77" s="7" t="s">
        <v>200</v>
      </c>
      <c r="D77" s="7" t="s">
        <v>289</v>
      </c>
      <c r="E77" s="3">
        <v>230107</v>
      </c>
      <c r="F77" s="58">
        <v>32</v>
      </c>
      <c r="G77" s="59">
        <v>7</v>
      </c>
      <c r="H77" s="62">
        <v>21.875</v>
      </c>
      <c r="I77" s="59">
        <v>3</v>
      </c>
      <c r="J77" s="60">
        <v>9.375</v>
      </c>
      <c r="K77" s="61">
        <v>4</v>
      </c>
      <c r="L77" s="63">
        <v>12.5</v>
      </c>
      <c r="M77" s="59">
        <v>0</v>
      </c>
      <c r="N77" s="62">
        <v>0</v>
      </c>
    </row>
    <row r="78" spans="2:14" ht="15" customHeight="1" x14ac:dyDescent="0.25">
      <c r="B78" s="5" t="s">
        <v>200</v>
      </c>
      <c r="C78" s="7" t="s">
        <v>200</v>
      </c>
      <c r="D78" s="7" t="s">
        <v>200</v>
      </c>
      <c r="E78" s="3">
        <v>230101</v>
      </c>
      <c r="F78" s="58">
        <v>1416</v>
      </c>
      <c r="G78" s="59">
        <v>244</v>
      </c>
      <c r="H78" s="62">
        <v>17.231638418079097</v>
      </c>
      <c r="I78" s="59">
        <v>196</v>
      </c>
      <c r="J78" s="60">
        <v>13.841807909604519</v>
      </c>
      <c r="K78" s="61">
        <v>48</v>
      </c>
      <c r="L78" s="63">
        <v>3.3898305084745761</v>
      </c>
      <c r="M78" s="59">
        <v>0</v>
      </c>
      <c r="N78" s="62">
        <v>0</v>
      </c>
    </row>
    <row r="79" spans="2:14" ht="15" customHeight="1" x14ac:dyDescent="0.25">
      <c r="B79" s="5" t="s">
        <v>200</v>
      </c>
      <c r="C79" s="7" t="s">
        <v>290</v>
      </c>
      <c r="D79" s="7" t="s">
        <v>290</v>
      </c>
      <c r="E79" s="3">
        <v>230401</v>
      </c>
      <c r="F79" s="75">
        <v>67</v>
      </c>
      <c r="G79" s="76">
        <v>29</v>
      </c>
      <c r="H79" s="77">
        <v>43.283582089552233</v>
      </c>
      <c r="I79" s="76">
        <v>11</v>
      </c>
      <c r="J79" s="78">
        <v>16.417910447761194</v>
      </c>
      <c r="K79" s="79">
        <v>18</v>
      </c>
      <c r="L79" s="80">
        <v>26.865671641791046</v>
      </c>
      <c r="M79" s="76">
        <v>0</v>
      </c>
      <c r="N79" s="77">
        <v>0</v>
      </c>
    </row>
    <row r="80" spans="2:14" ht="15" customHeight="1" x14ac:dyDescent="0.25">
      <c r="B80" s="5" t="s">
        <v>201</v>
      </c>
      <c r="C80" s="7" t="s">
        <v>201</v>
      </c>
      <c r="D80" s="7" t="s">
        <v>291</v>
      </c>
      <c r="E80" s="3">
        <v>240104</v>
      </c>
      <c r="F80" s="75">
        <v>278</v>
      </c>
      <c r="G80" s="76">
        <v>17</v>
      </c>
      <c r="H80" s="77">
        <v>6.1151079136690649</v>
      </c>
      <c r="I80" s="76">
        <v>14</v>
      </c>
      <c r="J80" s="78">
        <v>5.0359712230215825</v>
      </c>
      <c r="K80" s="79">
        <v>3</v>
      </c>
      <c r="L80" s="80">
        <v>1.079136690647482</v>
      </c>
      <c r="M80" s="76">
        <v>0</v>
      </c>
      <c r="N80" s="77">
        <v>0</v>
      </c>
    </row>
    <row r="81" spans="2:14" ht="15" customHeight="1" x14ac:dyDescent="0.25">
      <c r="B81" s="5" t="s">
        <v>201</v>
      </c>
      <c r="C81" s="7" t="s">
        <v>201</v>
      </c>
      <c r="D81" s="7" t="s">
        <v>292</v>
      </c>
      <c r="E81" s="3">
        <v>240105</v>
      </c>
      <c r="F81" s="58">
        <v>290</v>
      </c>
      <c r="G81" s="59">
        <v>13</v>
      </c>
      <c r="H81" s="62">
        <v>4.4827586206896548</v>
      </c>
      <c r="I81" s="59">
        <v>12</v>
      </c>
      <c r="J81" s="60">
        <v>4.1379310344827589</v>
      </c>
      <c r="K81" s="61">
        <v>1</v>
      </c>
      <c r="L81" s="63">
        <v>0.34482758620689657</v>
      </c>
      <c r="M81" s="59">
        <v>0</v>
      </c>
      <c r="N81" s="62">
        <v>0</v>
      </c>
    </row>
    <row r="82" spans="2:14" ht="15" customHeight="1" x14ac:dyDescent="0.25">
      <c r="B82" s="5" t="s">
        <v>201</v>
      </c>
      <c r="C82" s="7" t="s">
        <v>293</v>
      </c>
      <c r="D82" s="7" t="s">
        <v>294</v>
      </c>
      <c r="E82" s="3">
        <v>240302</v>
      </c>
      <c r="F82" s="17">
        <v>733</v>
      </c>
      <c r="G82" s="25">
        <v>75</v>
      </c>
      <c r="H82" s="30">
        <v>10.231923601637108</v>
      </c>
      <c r="I82" s="25">
        <v>63</v>
      </c>
      <c r="J82" s="21">
        <v>8.5948158253751714</v>
      </c>
      <c r="K82" s="37">
        <v>12</v>
      </c>
      <c r="L82" s="31">
        <v>1.6371077762619373</v>
      </c>
      <c r="M82" s="25">
        <v>0</v>
      </c>
      <c r="N82" s="30">
        <v>0</v>
      </c>
    </row>
    <row r="83" spans="2:14" ht="15" customHeight="1" x14ac:dyDescent="0.25">
      <c r="B83" s="5" t="s">
        <v>201</v>
      </c>
      <c r="C83" s="7" t="s">
        <v>293</v>
      </c>
      <c r="D83" s="7" t="s">
        <v>295</v>
      </c>
      <c r="E83" s="3">
        <v>240303</v>
      </c>
      <c r="F83" s="17">
        <v>200</v>
      </c>
      <c r="G83" s="25">
        <v>25</v>
      </c>
      <c r="H83" s="30">
        <v>12.5</v>
      </c>
      <c r="I83" s="25">
        <v>18</v>
      </c>
      <c r="J83" s="21">
        <v>9</v>
      </c>
      <c r="K83" s="37">
        <v>7</v>
      </c>
      <c r="L83" s="31">
        <v>3.5000000000000004</v>
      </c>
      <c r="M83" s="25">
        <v>0</v>
      </c>
      <c r="N83" s="30">
        <v>0</v>
      </c>
    </row>
    <row r="84" spans="2:14" ht="15" customHeight="1" x14ac:dyDescent="0.25">
      <c r="B84" s="5" t="s">
        <v>201</v>
      </c>
      <c r="C84" s="7" t="s">
        <v>293</v>
      </c>
      <c r="D84" s="7" t="s">
        <v>296</v>
      </c>
      <c r="E84" s="3">
        <v>240304</v>
      </c>
      <c r="F84" s="17">
        <v>236</v>
      </c>
      <c r="G84" s="25">
        <v>20</v>
      </c>
      <c r="H84" s="30">
        <v>8.4745762711864394</v>
      </c>
      <c r="I84" s="25">
        <v>15</v>
      </c>
      <c r="J84" s="21">
        <v>6.3559322033898304</v>
      </c>
      <c r="K84" s="37">
        <v>5</v>
      </c>
      <c r="L84" s="31">
        <v>2.1186440677966099</v>
      </c>
      <c r="M84" s="25">
        <v>0</v>
      </c>
      <c r="N84" s="30">
        <v>0</v>
      </c>
    </row>
    <row r="85" spans="2:14" ht="15" customHeight="1" x14ac:dyDescent="0.25">
      <c r="B85" s="5" t="s">
        <v>201</v>
      </c>
      <c r="C85" s="7" t="s">
        <v>293</v>
      </c>
      <c r="D85" s="7" t="s">
        <v>293</v>
      </c>
      <c r="E85" s="3">
        <v>240301</v>
      </c>
      <c r="F85" s="17">
        <v>726</v>
      </c>
      <c r="G85" s="25">
        <v>80</v>
      </c>
      <c r="H85" s="30">
        <v>11.019283746556475</v>
      </c>
      <c r="I85" s="25">
        <v>57</v>
      </c>
      <c r="J85" s="21">
        <v>7.8512396694214877</v>
      </c>
      <c r="K85" s="37">
        <v>23</v>
      </c>
      <c r="L85" s="31">
        <v>3.1680440771349865</v>
      </c>
      <c r="M85" s="25">
        <v>0</v>
      </c>
      <c r="N85" s="30">
        <v>0</v>
      </c>
    </row>
    <row r="86" spans="2:14" ht="15" customHeight="1" x14ac:dyDescent="0.25">
      <c r="B86" s="5" t="s">
        <v>202</v>
      </c>
      <c r="C86" s="7" t="s">
        <v>297</v>
      </c>
      <c r="D86" s="7" t="s">
        <v>298</v>
      </c>
      <c r="E86" s="3">
        <v>250204</v>
      </c>
      <c r="F86" s="17">
        <v>174</v>
      </c>
      <c r="G86" s="25">
        <v>66</v>
      </c>
      <c r="H86" s="30">
        <v>37.931034482758619</v>
      </c>
      <c r="I86" s="25">
        <v>44</v>
      </c>
      <c r="J86" s="21">
        <v>25.287356321839084</v>
      </c>
      <c r="K86" s="37">
        <v>21</v>
      </c>
      <c r="L86" s="31">
        <v>12.068965517241379</v>
      </c>
      <c r="M86" s="25">
        <v>1</v>
      </c>
      <c r="N86" s="30">
        <v>0.57471264367816088</v>
      </c>
    </row>
    <row r="87" spans="2:14" ht="15" customHeight="1" x14ac:dyDescent="0.25">
      <c r="B87" s="5" t="s">
        <v>202</v>
      </c>
      <c r="C87" s="7" t="s">
        <v>299</v>
      </c>
      <c r="D87" s="7" t="s">
        <v>300</v>
      </c>
      <c r="E87" s="3">
        <v>250101</v>
      </c>
      <c r="F87" s="17">
        <v>5192</v>
      </c>
      <c r="G87" s="25">
        <v>959</v>
      </c>
      <c r="H87" s="30">
        <v>18.470724191063173</v>
      </c>
      <c r="I87" s="25">
        <v>735</v>
      </c>
      <c r="J87" s="21">
        <v>14.156394453004623</v>
      </c>
      <c r="K87" s="37">
        <v>222</v>
      </c>
      <c r="L87" s="31">
        <v>4.2758089368258858</v>
      </c>
      <c r="M87" s="25">
        <v>2</v>
      </c>
      <c r="N87" s="30">
        <v>3.8520801232665637E-2</v>
      </c>
    </row>
    <row r="88" spans="2:14" ht="15" customHeight="1" x14ac:dyDescent="0.25">
      <c r="B88" s="5" t="s">
        <v>202</v>
      </c>
      <c r="C88" s="7" t="s">
        <v>299</v>
      </c>
      <c r="D88" s="7" t="s">
        <v>301</v>
      </c>
      <c r="E88" s="3">
        <v>250104</v>
      </c>
      <c r="F88" s="17">
        <v>751</v>
      </c>
      <c r="G88" s="25">
        <v>194</v>
      </c>
      <c r="H88" s="30">
        <v>25.832223701731028</v>
      </c>
      <c r="I88" s="25">
        <v>140</v>
      </c>
      <c r="J88" s="21">
        <v>18.641810918774969</v>
      </c>
      <c r="K88" s="37">
        <v>54</v>
      </c>
      <c r="L88" s="31">
        <v>7.1904127829560585</v>
      </c>
      <c r="M88" s="25">
        <v>0</v>
      </c>
      <c r="N88" s="30">
        <v>0</v>
      </c>
    </row>
    <row r="89" spans="2:14" ht="15" customHeight="1" x14ac:dyDescent="0.25">
      <c r="B89" s="5" t="s">
        <v>202</v>
      </c>
      <c r="C89" s="7" t="s">
        <v>302</v>
      </c>
      <c r="D89" s="7" t="s">
        <v>302</v>
      </c>
      <c r="E89" s="3">
        <v>250401</v>
      </c>
      <c r="F89" s="17">
        <v>145</v>
      </c>
      <c r="G89" s="25">
        <v>44</v>
      </c>
      <c r="H89" s="30">
        <v>30.344827586206897</v>
      </c>
      <c r="I89" s="25">
        <v>28</v>
      </c>
      <c r="J89" s="21">
        <v>19.310344827586206</v>
      </c>
      <c r="K89" s="37">
        <v>16</v>
      </c>
      <c r="L89" s="31">
        <v>11.03448275862069</v>
      </c>
      <c r="M89" s="25">
        <v>0</v>
      </c>
      <c r="N89" s="30">
        <v>0</v>
      </c>
    </row>
    <row r="90" spans="2:14" ht="15" customHeight="1" thickBot="1" x14ac:dyDescent="0.3">
      <c r="B90" s="5"/>
      <c r="C90" s="7"/>
      <c r="D90" s="7"/>
      <c r="E90" s="3"/>
      <c r="F90" s="58"/>
      <c r="G90" s="59"/>
      <c r="H90" s="62"/>
      <c r="I90" s="59"/>
      <c r="J90" s="60"/>
      <c r="K90" s="61"/>
      <c r="L90" s="63"/>
      <c r="M90" s="59"/>
      <c r="N90" s="62"/>
    </row>
    <row r="91" spans="2:14" ht="15" customHeight="1" thickBot="1" x14ac:dyDescent="0.3">
      <c r="B91" s="98" t="s">
        <v>44</v>
      </c>
      <c r="C91" s="99"/>
      <c r="D91" s="99"/>
      <c r="E91" s="100"/>
      <c r="F91" s="19">
        <f>SUM(F7:F90)</f>
        <v>40760</v>
      </c>
      <c r="G91" s="27">
        <f>SUM(G7:G90)</f>
        <v>7345</v>
      </c>
      <c r="H91" s="34">
        <f>G91/F91*100</f>
        <v>18.020117762512267</v>
      </c>
      <c r="I91" s="27">
        <f>SUM(I7:I90)</f>
        <v>5543</v>
      </c>
      <c r="J91" s="23">
        <f>I91/F91*100</f>
        <v>13.599116781157999</v>
      </c>
      <c r="K91" s="39">
        <f>SUM(K7:K90)</f>
        <v>1765</v>
      </c>
      <c r="L91" s="35">
        <f>K91/F91*100</f>
        <v>4.3302257114818454</v>
      </c>
      <c r="M91" s="27">
        <f>SUM(M7:M90)</f>
        <v>37</v>
      </c>
      <c r="N91" s="34">
        <f>M91/F91*100</f>
        <v>9.0775269872423944E-2</v>
      </c>
    </row>
    <row r="92" spans="2:14" ht="15" customHeight="1" x14ac:dyDescent="0.25">
      <c r="B92" s="2" t="str">
        <f>_xlfn.CONCAT("Fuente: Sistema de Información SIEN - HIS, ",RIGHT(INICIO!C8,4),".")</f>
        <v>Fuente: Sistema de Información SIEN - HIS, 2025.</v>
      </c>
      <c r="C92" s="12"/>
      <c r="D92" s="12"/>
      <c r="E92" s="12"/>
    </row>
    <row r="93" spans="2:14" ht="15" customHeight="1" x14ac:dyDescent="0.25">
      <c r="B93" s="2" t="s">
        <v>68</v>
      </c>
      <c r="C93" s="12"/>
      <c r="D93" s="12"/>
      <c r="E93" s="12"/>
    </row>
    <row r="94" spans="2:14" ht="15" customHeight="1" x14ac:dyDescent="0.25">
      <c r="B94" s="2"/>
    </row>
    <row r="95" spans="2:14" ht="15" customHeight="1" x14ac:dyDescent="0.25">
      <c r="B95" s="2"/>
    </row>
  </sheetData>
  <mergeCells count="12">
    <mergeCell ref="B91:E91"/>
    <mergeCell ref="K5:L5"/>
    <mergeCell ref="M5:N5"/>
    <mergeCell ref="B2:N2"/>
    <mergeCell ref="B5:B6"/>
    <mergeCell ref="C5:C6"/>
    <mergeCell ref="D5:D6"/>
    <mergeCell ref="E5:E6"/>
    <mergeCell ref="F5:F6"/>
    <mergeCell ref="G5:H5"/>
    <mergeCell ref="I5:J5"/>
    <mergeCell ref="B3:N3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2E11-A661-486A-AFDC-CE45779341F2}">
  <sheetPr codeName="Hoja16">
    <tabColor rgb="FFC00000"/>
  </sheetPr>
  <dimension ref="B2:O100"/>
  <sheetViews>
    <sheetView showGridLines="0" workbookViewId="0">
      <selection activeCell="B7" sqref="B7:O9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5703125" style="1" customWidth="1"/>
    <col min="3" max="3" width="15.7109375" style="1" customWidth="1"/>
    <col min="4" max="4" width="25.7109375" style="1" customWidth="1"/>
    <col min="5" max="5" width="35.7109375" style="1" customWidth="1"/>
    <col min="6" max="6" width="10.7109375" style="1" customWidth="1"/>
    <col min="7" max="15" width="12.7109375" style="1" customWidth="1"/>
    <col min="16" max="16384" width="11.42578125" style="1"/>
  </cols>
  <sheetData>
    <row r="2" spans="2:15" ht="84.95" customHeight="1" x14ac:dyDescent="0.25">
      <c r="B2" s="89" t="s">
        <v>63</v>
      </c>
      <c r="C2" s="89"/>
      <c r="D2" s="89"/>
      <c r="E2" s="89"/>
      <c r="F2" s="89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5" ht="15" customHeight="1" thickBot="1" x14ac:dyDescent="0.3"/>
    <row r="5" spans="2:15" ht="15" customHeight="1" thickBot="1" x14ac:dyDescent="0.3">
      <c r="B5" s="92" t="s">
        <v>50</v>
      </c>
      <c r="C5" s="92" t="s">
        <v>0</v>
      </c>
      <c r="D5" s="92" t="s">
        <v>5</v>
      </c>
      <c r="E5" s="101" t="s">
        <v>6</v>
      </c>
      <c r="F5" s="92" t="s">
        <v>7</v>
      </c>
      <c r="G5" s="91" t="s">
        <v>10</v>
      </c>
      <c r="H5" s="91" t="s">
        <v>8</v>
      </c>
      <c r="I5" s="91"/>
      <c r="J5" s="94" t="s">
        <v>17</v>
      </c>
      <c r="K5" s="91"/>
      <c r="L5" s="91" t="s">
        <v>18</v>
      </c>
      <c r="M5" s="91"/>
      <c r="N5" s="91" t="s">
        <v>19</v>
      </c>
      <c r="O5" s="91"/>
    </row>
    <row r="6" spans="2:15" ht="15" customHeight="1" thickBot="1" x14ac:dyDescent="0.3">
      <c r="B6" s="92"/>
      <c r="C6" s="92"/>
      <c r="D6" s="92"/>
      <c r="E6" s="101"/>
      <c r="F6" s="92"/>
      <c r="G6" s="91"/>
      <c r="H6" s="9" t="s">
        <v>1</v>
      </c>
      <c r="I6" s="9" t="s">
        <v>2</v>
      </c>
      <c r="J6" s="10" t="s">
        <v>1</v>
      </c>
      <c r="K6" s="9" t="s">
        <v>2</v>
      </c>
      <c r="L6" s="9" t="s">
        <v>1</v>
      </c>
      <c r="M6" s="9" t="s">
        <v>2</v>
      </c>
      <c r="N6" s="9" t="s">
        <v>1</v>
      </c>
      <c r="O6" s="9" t="s">
        <v>2</v>
      </c>
    </row>
    <row r="7" spans="2:15" ht="15" customHeight="1" x14ac:dyDescent="0.25">
      <c r="B7" s="4" t="s">
        <v>48</v>
      </c>
      <c r="C7" s="6" t="s">
        <v>70</v>
      </c>
      <c r="D7" s="7" t="s">
        <v>71</v>
      </c>
      <c r="E7" s="6" t="s">
        <v>72</v>
      </c>
      <c r="F7" s="43">
        <v>210401</v>
      </c>
      <c r="G7" s="16">
        <f t="shared" ref="G7:G47" si="0">IFERROR(VLOOKUP($F7,distrito635,2,0),"-")</f>
        <v>375</v>
      </c>
      <c r="H7" s="24">
        <f t="shared" ref="H7:H47" si="1">IFERROR(VLOOKUP($F7,distrito635,3,0),"-")</f>
        <v>79</v>
      </c>
      <c r="I7" s="20">
        <f t="shared" ref="I7:I47" si="2">IFERROR(VLOOKUP($F7,distrito635,4,0),"-")</f>
        <v>21.066666666666666</v>
      </c>
      <c r="J7" s="36">
        <f t="shared" ref="J7:J47" si="3">IFERROR(VLOOKUP($F7,distrito635,5,0),"-")</f>
        <v>48</v>
      </c>
      <c r="K7" s="24">
        <f t="shared" ref="K7:K47" si="4">IFERROR(VLOOKUP($F7,distrito635,6,0),"-")</f>
        <v>12.8</v>
      </c>
      <c r="L7" s="20">
        <f t="shared" ref="L7:L47" si="5">IFERROR(VLOOKUP($F7,distrito635,7,0),"-")</f>
        <v>30</v>
      </c>
      <c r="M7" s="16">
        <f t="shared" ref="M7:M47" si="6">IFERROR(VLOOKUP($F7,distrito635,8,0),"-")</f>
        <v>8</v>
      </c>
      <c r="N7" s="24">
        <f t="shared" ref="N7:N47" si="7">IFERROR(VLOOKUP($F7,distrito635,9,0),"-")</f>
        <v>1</v>
      </c>
      <c r="O7" s="28">
        <f t="shared" ref="O7:O47" si="8">IFERROR(VLOOKUP($F7,distrito635,10,0),"-")</f>
        <v>0.26666666666666666</v>
      </c>
    </row>
    <row r="8" spans="2:15" ht="15" customHeight="1" x14ac:dyDescent="0.25">
      <c r="B8" s="5" t="s">
        <v>48</v>
      </c>
      <c r="C8" s="7" t="s">
        <v>70</v>
      </c>
      <c r="D8" s="7" t="s">
        <v>71</v>
      </c>
      <c r="E8" s="7" t="s">
        <v>73</v>
      </c>
      <c r="F8" s="44">
        <v>210402</v>
      </c>
      <c r="G8" s="17">
        <f t="shared" si="0"/>
        <v>241</v>
      </c>
      <c r="H8" s="25">
        <f t="shared" si="1"/>
        <v>80</v>
      </c>
      <c r="I8" s="21">
        <f t="shared" si="2"/>
        <v>33.195020746887963</v>
      </c>
      <c r="J8" s="37">
        <f t="shared" si="3"/>
        <v>59</v>
      </c>
      <c r="K8" s="25">
        <f t="shared" si="4"/>
        <v>24.481327800829874</v>
      </c>
      <c r="L8" s="21">
        <f t="shared" si="5"/>
        <v>20</v>
      </c>
      <c r="M8" s="17">
        <f t="shared" si="6"/>
        <v>8.2987551867219906</v>
      </c>
      <c r="N8" s="25">
        <f t="shared" si="7"/>
        <v>1</v>
      </c>
      <c r="O8" s="30">
        <f t="shared" si="8"/>
        <v>0.41493775933609961</v>
      </c>
    </row>
    <row r="9" spans="2:15" ht="15" customHeight="1" x14ac:dyDescent="0.25">
      <c r="B9" s="5" t="s">
        <v>48</v>
      </c>
      <c r="C9" s="7" t="s">
        <v>70</v>
      </c>
      <c r="D9" s="7" t="s">
        <v>71</v>
      </c>
      <c r="E9" s="7" t="s">
        <v>74</v>
      </c>
      <c r="F9" s="44">
        <v>210404</v>
      </c>
      <c r="G9" s="17">
        <f t="shared" si="0"/>
        <v>76</v>
      </c>
      <c r="H9" s="25">
        <f t="shared" si="1"/>
        <v>22</v>
      </c>
      <c r="I9" s="21">
        <f t="shared" si="2"/>
        <v>28.947368421052634</v>
      </c>
      <c r="J9" s="37">
        <f t="shared" si="3"/>
        <v>15</v>
      </c>
      <c r="K9" s="25">
        <f t="shared" si="4"/>
        <v>19.736842105263158</v>
      </c>
      <c r="L9" s="21">
        <f t="shared" si="5"/>
        <v>7</v>
      </c>
      <c r="M9" s="17">
        <f t="shared" si="6"/>
        <v>9.2105263157894726</v>
      </c>
      <c r="N9" s="25">
        <f t="shared" si="7"/>
        <v>0</v>
      </c>
      <c r="O9" s="30">
        <f t="shared" si="8"/>
        <v>0</v>
      </c>
    </row>
    <row r="10" spans="2:15" ht="15" customHeight="1" x14ac:dyDescent="0.25">
      <c r="B10" s="5" t="s">
        <v>48</v>
      </c>
      <c r="C10" s="7" t="s">
        <v>70</v>
      </c>
      <c r="D10" s="7" t="s">
        <v>70</v>
      </c>
      <c r="E10" s="7" t="s">
        <v>70</v>
      </c>
      <c r="F10" s="44">
        <v>210101</v>
      </c>
      <c r="G10" s="17">
        <f t="shared" si="0"/>
        <v>2313</v>
      </c>
      <c r="H10" s="25">
        <f t="shared" si="1"/>
        <v>414</v>
      </c>
      <c r="I10" s="21">
        <f t="shared" si="2"/>
        <v>17.898832684824903</v>
      </c>
      <c r="J10" s="37">
        <f t="shared" si="3"/>
        <v>362</v>
      </c>
      <c r="K10" s="25">
        <f t="shared" si="4"/>
        <v>15.650670125378296</v>
      </c>
      <c r="L10" s="21">
        <f t="shared" si="5"/>
        <v>49</v>
      </c>
      <c r="M10" s="17">
        <f t="shared" si="6"/>
        <v>2.1184608733246866</v>
      </c>
      <c r="N10" s="25">
        <f t="shared" si="7"/>
        <v>3</v>
      </c>
      <c r="O10" s="30">
        <f t="shared" si="8"/>
        <v>0.12970168612191957</v>
      </c>
    </row>
    <row r="11" spans="2:15" ht="15" customHeight="1" x14ac:dyDescent="0.25">
      <c r="B11" s="5" t="s">
        <v>48</v>
      </c>
      <c r="C11" s="7" t="s">
        <v>70</v>
      </c>
      <c r="D11" s="7" t="s">
        <v>70</v>
      </c>
      <c r="E11" s="7" t="s">
        <v>75</v>
      </c>
      <c r="F11" s="44">
        <v>210102</v>
      </c>
      <c r="G11" s="17">
        <f t="shared" si="0"/>
        <v>381</v>
      </c>
      <c r="H11" s="25">
        <f t="shared" si="1"/>
        <v>49</v>
      </c>
      <c r="I11" s="21">
        <f t="shared" si="2"/>
        <v>12.860892388451445</v>
      </c>
      <c r="J11" s="37">
        <f t="shared" si="3"/>
        <v>41</v>
      </c>
      <c r="K11" s="25">
        <f t="shared" si="4"/>
        <v>10.761154855643044</v>
      </c>
      <c r="L11" s="21">
        <f t="shared" si="5"/>
        <v>7</v>
      </c>
      <c r="M11" s="17">
        <f t="shared" si="6"/>
        <v>1.837270341207349</v>
      </c>
      <c r="N11" s="25">
        <f t="shared" si="7"/>
        <v>1</v>
      </c>
      <c r="O11" s="30">
        <f t="shared" si="8"/>
        <v>0.26246719160104987</v>
      </c>
    </row>
    <row r="12" spans="2:15" ht="15" customHeight="1" x14ac:dyDescent="0.25">
      <c r="B12" s="5" t="s">
        <v>48</v>
      </c>
      <c r="C12" s="7" t="s">
        <v>70</v>
      </c>
      <c r="D12" s="7" t="s">
        <v>70</v>
      </c>
      <c r="E12" s="7" t="s">
        <v>76</v>
      </c>
      <c r="F12" s="44">
        <v>210103</v>
      </c>
      <c r="G12" s="17">
        <f t="shared" si="0"/>
        <v>72</v>
      </c>
      <c r="H12" s="25">
        <f t="shared" si="1"/>
        <v>15</v>
      </c>
      <c r="I12" s="21">
        <f t="shared" si="2"/>
        <v>20.833333333333336</v>
      </c>
      <c r="J12" s="37">
        <f t="shared" si="3"/>
        <v>13</v>
      </c>
      <c r="K12" s="25">
        <f t="shared" si="4"/>
        <v>18.055555555555554</v>
      </c>
      <c r="L12" s="21">
        <f t="shared" si="5"/>
        <v>2</v>
      </c>
      <c r="M12" s="17">
        <f t="shared" si="6"/>
        <v>2.7777777777777777</v>
      </c>
      <c r="N12" s="25">
        <f t="shared" si="7"/>
        <v>0</v>
      </c>
      <c r="O12" s="30">
        <f t="shared" si="8"/>
        <v>0</v>
      </c>
    </row>
    <row r="13" spans="2:15" ht="15" customHeight="1" x14ac:dyDescent="0.25">
      <c r="B13" s="5" t="s">
        <v>48</v>
      </c>
      <c r="C13" s="7" t="s">
        <v>70</v>
      </c>
      <c r="D13" s="7" t="s">
        <v>70</v>
      </c>
      <c r="E13" s="7" t="s">
        <v>77</v>
      </c>
      <c r="F13" s="44">
        <v>210105</v>
      </c>
      <c r="G13" s="17">
        <f t="shared" si="0"/>
        <v>166</v>
      </c>
      <c r="H13" s="25">
        <f t="shared" si="1"/>
        <v>29</v>
      </c>
      <c r="I13" s="21">
        <f t="shared" si="2"/>
        <v>17.46987951807229</v>
      </c>
      <c r="J13" s="37">
        <f t="shared" si="3"/>
        <v>19</v>
      </c>
      <c r="K13" s="25">
        <f t="shared" si="4"/>
        <v>11.445783132530121</v>
      </c>
      <c r="L13" s="21">
        <f t="shared" si="5"/>
        <v>8</v>
      </c>
      <c r="M13" s="17">
        <f t="shared" si="6"/>
        <v>4.8192771084337354</v>
      </c>
      <c r="N13" s="25">
        <f t="shared" si="7"/>
        <v>2</v>
      </c>
      <c r="O13" s="30">
        <f t="shared" si="8"/>
        <v>1.2048192771084338</v>
      </c>
    </row>
    <row r="14" spans="2:15" ht="15" customHeight="1" x14ac:dyDescent="0.25">
      <c r="B14" s="5" t="s">
        <v>48</v>
      </c>
      <c r="C14" s="7" t="s">
        <v>70</v>
      </c>
      <c r="D14" s="7" t="s">
        <v>70</v>
      </c>
      <c r="E14" s="7" t="s">
        <v>71</v>
      </c>
      <c r="F14" s="44">
        <v>210106</v>
      </c>
      <c r="G14" s="17">
        <f t="shared" si="0"/>
        <v>134</v>
      </c>
      <c r="H14" s="25">
        <f t="shared" si="1"/>
        <v>35</v>
      </c>
      <c r="I14" s="21">
        <f t="shared" si="2"/>
        <v>26.119402985074625</v>
      </c>
      <c r="J14" s="37">
        <f t="shared" si="3"/>
        <v>22</v>
      </c>
      <c r="K14" s="25">
        <f t="shared" si="4"/>
        <v>16.417910447761194</v>
      </c>
      <c r="L14" s="21">
        <f t="shared" si="5"/>
        <v>13</v>
      </c>
      <c r="M14" s="17">
        <f t="shared" si="6"/>
        <v>9.7014925373134329</v>
      </c>
      <c r="N14" s="25">
        <f t="shared" si="7"/>
        <v>0</v>
      </c>
      <c r="O14" s="30">
        <f t="shared" si="8"/>
        <v>0</v>
      </c>
    </row>
    <row r="15" spans="2:15" ht="15" customHeight="1" x14ac:dyDescent="0.25">
      <c r="B15" s="5" t="s">
        <v>48</v>
      </c>
      <c r="C15" s="7" t="s">
        <v>70</v>
      </c>
      <c r="D15" s="7" t="s">
        <v>70</v>
      </c>
      <c r="E15" s="7" t="s">
        <v>78</v>
      </c>
      <c r="F15" s="44">
        <v>210107</v>
      </c>
      <c r="G15" s="17">
        <f t="shared" si="0"/>
        <v>196</v>
      </c>
      <c r="H15" s="25">
        <f t="shared" si="1"/>
        <v>59</v>
      </c>
      <c r="I15" s="21">
        <f t="shared" si="2"/>
        <v>30.102040816326532</v>
      </c>
      <c r="J15" s="37">
        <f t="shared" si="3"/>
        <v>51</v>
      </c>
      <c r="K15" s="25">
        <f t="shared" si="4"/>
        <v>26.020408163265309</v>
      </c>
      <c r="L15" s="21">
        <f t="shared" si="5"/>
        <v>7</v>
      </c>
      <c r="M15" s="17">
        <f t="shared" si="6"/>
        <v>3.5714285714285712</v>
      </c>
      <c r="N15" s="25">
        <f t="shared" si="7"/>
        <v>1</v>
      </c>
      <c r="O15" s="30">
        <f t="shared" si="8"/>
        <v>0.51020408163265307</v>
      </c>
    </row>
    <row r="16" spans="2:15" ht="15" customHeight="1" x14ac:dyDescent="0.25">
      <c r="B16" s="5" t="s">
        <v>48</v>
      </c>
      <c r="C16" s="7" t="s">
        <v>70</v>
      </c>
      <c r="D16" s="7" t="s">
        <v>70</v>
      </c>
      <c r="E16" s="7" t="s">
        <v>79</v>
      </c>
      <c r="F16" s="44">
        <v>210108</v>
      </c>
      <c r="G16" s="17">
        <f t="shared" si="0"/>
        <v>89</v>
      </c>
      <c r="H16" s="25">
        <f t="shared" si="1"/>
        <v>31</v>
      </c>
      <c r="I16" s="21">
        <f t="shared" si="2"/>
        <v>34.831460674157306</v>
      </c>
      <c r="J16" s="37">
        <f t="shared" si="3"/>
        <v>22</v>
      </c>
      <c r="K16" s="25">
        <f t="shared" si="4"/>
        <v>24.719101123595504</v>
      </c>
      <c r="L16" s="21">
        <f t="shared" si="5"/>
        <v>8</v>
      </c>
      <c r="M16" s="17">
        <f t="shared" si="6"/>
        <v>8.9887640449438209</v>
      </c>
      <c r="N16" s="25">
        <f t="shared" si="7"/>
        <v>1</v>
      </c>
      <c r="O16" s="30">
        <f t="shared" si="8"/>
        <v>1.1235955056179776</v>
      </c>
    </row>
    <row r="17" spans="2:15" ht="15" customHeight="1" x14ac:dyDescent="0.25">
      <c r="B17" s="5" t="s">
        <v>48</v>
      </c>
      <c r="C17" s="7" t="s">
        <v>70</v>
      </c>
      <c r="D17" s="7" t="s">
        <v>70</v>
      </c>
      <c r="E17" s="7" t="s">
        <v>80</v>
      </c>
      <c r="F17" s="44">
        <v>210110</v>
      </c>
      <c r="G17" s="17">
        <f t="shared" si="0"/>
        <v>117</v>
      </c>
      <c r="H17" s="25">
        <f t="shared" si="1"/>
        <v>12</v>
      </c>
      <c r="I17" s="21">
        <f t="shared" si="2"/>
        <v>10.256410256410255</v>
      </c>
      <c r="J17" s="37">
        <f t="shared" si="3"/>
        <v>8</v>
      </c>
      <c r="K17" s="25">
        <f t="shared" si="4"/>
        <v>6.8376068376068382</v>
      </c>
      <c r="L17" s="21">
        <f t="shared" si="5"/>
        <v>4</v>
      </c>
      <c r="M17" s="17">
        <f t="shared" si="6"/>
        <v>3.4188034188034191</v>
      </c>
      <c r="N17" s="25">
        <f t="shared" si="7"/>
        <v>0</v>
      </c>
      <c r="O17" s="30">
        <f t="shared" si="8"/>
        <v>0</v>
      </c>
    </row>
    <row r="18" spans="2:15" ht="15" customHeight="1" x14ac:dyDescent="0.25">
      <c r="B18" s="5" t="s">
        <v>48</v>
      </c>
      <c r="C18" s="7" t="s">
        <v>70</v>
      </c>
      <c r="D18" s="7" t="s">
        <v>70</v>
      </c>
      <c r="E18" s="7" t="s">
        <v>81</v>
      </c>
      <c r="F18" s="44">
        <v>210112</v>
      </c>
      <c r="G18" s="17">
        <f t="shared" si="0"/>
        <v>109</v>
      </c>
      <c r="H18" s="25">
        <f t="shared" si="1"/>
        <v>25</v>
      </c>
      <c r="I18" s="21">
        <f t="shared" si="2"/>
        <v>22.935779816513762</v>
      </c>
      <c r="J18" s="37">
        <f t="shared" si="3"/>
        <v>24</v>
      </c>
      <c r="K18" s="25">
        <f t="shared" si="4"/>
        <v>22.018348623853214</v>
      </c>
      <c r="L18" s="21">
        <f t="shared" si="5"/>
        <v>1</v>
      </c>
      <c r="M18" s="17">
        <f t="shared" si="6"/>
        <v>0.91743119266055051</v>
      </c>
      <c r="N18" s="25">
        <f t="shared" si="7"/>
        <v>0</v>
      </c>
      <c r="O18" s="30">
        <f t="shared" si="8"/>
        <v>0</v>
      </c>
    </row>
    <row r="19" spans="2:15" ht="15" customHeight="1" x14ac:dyDescent="0.25">
      <c r="B19" s="5" t="s">
        <v>48</v>
      </c>
      <c r="C19" s="7" t="s">
        <v>70</v>
      </c>
      <c r="D19" s="7" t="s">
        <v>71</v>
      </c>
      <c r="E19" s="7" t="s">
        <v>82</v>
      </c>
      <c r="F19" s="44">
        <v>210405</v>
      </c>
      <c r="G19" s="17">
        <f t="shared" si="0"/>
        <v>57</v>
      </c>
      <c r="H19" s="25">
        <f t="shared" si="1"/>
        <v>14</v>
      </c>
      <c r="I19" s="21">
        <f t="shared" si="2"/>
        <v>24.561403508771928</v>
      </c>
      <c r="J19" s="37">
        <f t="shared" si="3"/>
        <v>11</v>
      </c>
      <c r="K19" s="25">
        <f t="shared" si="4"/>
        <v>19.298245614035086</v>
      </c>
      <c r="L19" s="21">
        <f t="shared" si="5"/>
        <v>3</v>
      </c>
      <c r="M19" s="17">
        <f t="shared" si="6"/>
        <v>5.2631578947368416</v>
      </c>
      <c r="N19" s="25">
        <f t="shared" si="7"/>
        <v>0</v>
      </c>
      <c r="O19" s="30">
        <f t="shared" si="8"/>
        <v>0</v>
      </c>
    </row>
    <row r="20" spans="2:15" ht="15" customHeight="1" x14ac:dyDescent="0.25">
      <c r="B20" s="5" t="s">
        <v>48</v>
      </c>
      <c r="C20" s="7" t="s">
        <v>70</v>
      </c>
      <c r="D20" s="7" t="s">
        <v>71</v>
      </c>
      <c r="E20" s="7" t="s">
        <v>83</v>
      </c>
      <c r="F20" s="44">
        <v>210406</v>
      </c>
      <c r="G20" s="17">
        <f t="shared" si="0"/>
        <v>222</v>
      </c>
      <c r="H20" s="25">
        <f t="shared" si="1"/>
        <v>19</v>
      </c>
      <c r="I20" s="21">
        <f t="shared" si="2"/>
        <v>8.5585585585585591</v>
      </c>
      <c r="J20" s="37">
        <f t="shared" si="3"/>
        <v>11</v>
      </c>
      <c r="K20" s="25">
        <f t="shared" si="4"/>
        <v>4.954954954954955</v>
      </c>
      <c r="L20" s="21">
        <f t="shared" si="5"/>
        <v>7</v>
      </c>
      <c r="M20" s="17">
        <f t="shared" si="6"/>
        <v>3.1531531531531529</v>
      </c>
      <c r="N20" s="25">
        <f t="shared" si="7"/>
        <v>1</v>
      </c>
      <c r="O20" s="30">
        <f t="shared" si="8"/>
        <v>0.45045045045045046</v>
      </c>
    </row>
    <row r="21" spans="2:15" ht="15" customHeight="1" x14ac:dyDescent="0.25">
      <c r="B21" s="5" t="s">
        <v>48</v>
      </c>
      <c r="C21" s="7" t="s">
        <v>70</v>
      </c>
      <c r="D21" s="7" t="s">
        <v>71</v>
      </c>
      <c r="E21" s="7" t="s">
        <v>84</v>
      </c>
      <c r="F21" s="44">
        <v>210407</v>
      </c>
      <c r="G21" s="17">
        <f t="shared" si="0"/>
        <v>326</v>
      </c>
      <c r="H21" s="25">
        <f t="shared" si="1"/>
        <v>117</v>
      </c>
      <c r="I21" s="21">
        <f t="shared" si="2"/>
        <v>35.889570552147241</v>
      </c>
      <c r="J21" s="37">
        <f t="shared" si="3"/>
        <v>103</v>
      </c>
      <c r="K21" s="25">
        <f t="shared" si="4"/>
        <v>31.595092024539877</v>
      </c>
      <c r="L21" s="21">
        <f t="shared" si="5"/>
        <v>13</v>
      </c>
      <c r="M21" s="17">
        <f t="shared" si="6"/>
        <v>3.9877300613496933</v>
      </c>
      <c r="N21" s="25">
        <f t="shared" si="7"/>
        <v>1</v>
      </c>
      <c r="O21" s="30">
        <f t="shared" si="8"/>
        <v>0.30674846625766872</v>
      </c>
    </row>
    <row r="22" spans="2:15" ht="15" customHeight="1" x14ac:dyDescent="0.25">
      <c r="B22" s="5" t="s">
        <v>48</v>
      </c>
      <c r="C22" s="7" t="s">
        <v>70</v>
      </c>
      <c r="D22" s="7" t="s">
        <v>85</v>
      </c>
      <c r="E22" s="7" t="s">
        <v>86</v>
      </c>
      <c r="F22" s="44">
        <v>210501</v>
      </c>
      <c r="G22" s="17">
        <f t="shared" si="0"/>
        <v>1089</v>
      </c>
      <c r="H22" s="25">
        <f t="shared" si="1"/>
        <v>232</v>
      </c>
      <c r="I22" s="21">
        <f t="shared" si="2"/>
        <v>21.30394857667585</v>
      </c>
      <c r="J22" s="37">
        <f t="shared" si="3"/>
        <v>178</v>
      </c>
      <c r="K22" s="25">
        <f t="shared" si="4"/>
        <v>16.345270890725434</v>
      </c>
      <c r="L22" s="21">
        <f t="shared" si="5"/>
        <v>52</v>
      </c>
      <c r="M22" s="17">
        <f t="shared" si="6"/>
        <v>4.7750229568411386</v>
      </c>
      <c r="N22" s="25">
        <f t="shared" si="7"/>
        <v>2</v>
      </c>
      <c r="O22" s="30">
        <f t="shared" si="8"/>
        <v>0.18365472910927455</v>
      </c>
    </row>
    <row r="23" spans="2:15" ht="15" customHeight="1" x14ac:dyDescent="0.25">
      <c r="B23" s="5" t="s">
        <v>48</v>
      </c>
      <c r="C23" s="7" t="s">
        <v>70</v>
      </c>
      <c r="D23" s="7" t="s">
        <v>85</v>
      </c>
      <c r="E23" s="7" t="s">
        <v>87</v>
      </c>
      <c r="F23" s="44">
        <v>210502</v>
      </c>
      <c r="G23" s="17">
        <f t="shared" si="0"/>
        <v>11</v>
      </c>
      <c r="H23" s="25">
        <f t="shared" si="1"/>
        <v>1</v>
      </c>
      <c r="I23" s="21">
        <f t="shared" si="2"/>
        <v>9.0909090909090917</v>
      </c>
      <c r="J23" s="37">
        <f t="shared" si="3"/>
        <v>1</v>
      </c>
      <c r="K23" s="25">
        <f t="shared" si="4"/>
        <v>9.0909090909090917</v>
      </c>
      <c r="L23" s="21">
        <f t="shared" si="5"/>
        <v>0</v>
      </c>
      <c r="M23" s="17">
        <f t="shared" si="6"/>
        <v>0</v>
      </c>
      <c r="N23" s="25">
        <f t="shared" si="7"/>
        <v>0</v>
      </c>
      <c r="O23" s="30">
        <f t="shared" si="8"/>
        <v>0</v>
      </c>
    </row>
    <row r="24" spans="2:15" ht="15" customHeight="1" x14ac:dyDescent="0.25">
      <c r="B24" s="5" t="s">
        <v>48</v>
      </c>
      <c r="C24" s="7" t="s">
        <v>70</v>
      </c>
      <c r="D24" s="7" t="s">
        <v>85</v>
      </c>
      <c r="E24" s="7" t="s">
        <v>88</v>
      </c>
      <c r="F24" s="44">
        <v>210503</v>
      </c>
      <c r="G24" s="17">
        <f t="shared" si="0"/>
        <v>127</v>
      </c>
      <c r="H24" s="25">
        <f t="shared" si="1"/>
        <v>10</v>
      </c>
      <c r="I24" s="21">
        <f t="shared" si="2"/>
        <v>7.8740157480314963</v>
      </c>
      <c r="J24" s="37">
        <f t="shared" si="3"/>
        <v>7</v>
      </c>
      <c r="K24" s="25">
        <f t="shared" si="4"/>
        <v>5.5118110236220472</v>
      </c>
      <c r="L24" s="21">
        <f t="shared" si="5"/>
        <v>3</v>
      </c>
      <c r="M24" s="17">
        <f t="shared" si="6"/>
        <v>2.3622047244094486</v>
      </c>
      <c r="N24" s="25">
        <f t="shared" si="7"/>
        <v>0</v>
      </c>
      <c r="O24" s="30">
        <f t="shared" si="8"/>
        <v>0</v>
      </c>
    </row>
    <row r="25" spans="2:15" ht="15" customHeight="1" x14ac:dyDescent="0.25">
      <c r="B25" s="5" t="s">
        <v>48</v>
      </c>
      <c r="C25" s="7" t="s">
        <v>70</v>
      </c>
      <c r="D25" s="7" t="s">
        <v>89</v>
      </c>
      <c r="E25" s="7" t="s">
        <v>89</v>
      </c>
      <c r="F25" s="44">
        <v>210601</v>
      </c>
      <c r="G25" s="17">
        <f t="shared" si="0"/>
        <v>424</v>
      </c>
      <c r="H25" s="25">
        <f t="shared" si="1"/>
        <v>112</v>
      </c>
      <c r="I25" s="21">
        <f t="shared" si="2"/>
        <v>26.415094339622641</v>
      </c>
      <c r="J25" s="37">
        <f t="shared" si="3"/>
        <v>70</v>
      </c>
      <c r="K25" s="25">
        <f t="shared" si="4"/>
        <v>16.509433962264151</v>
      </c>
      <c r="L25" s="21">
        <f t="shared" si="5"/>
        <v>39</v>
      </c>
      <c r="M25" s="17">
        <f t="shared" si="6"/>
        <v>9.1981132075471699</v>
      </c>
      <c r="N25" s="25">
        <f t="shared" si="7"/>
        <v>3</v>
      </c>
      <c r="O25" s="30">
        <f t="shared" si="8"/>
        <v>0.70754716981132082</v>
      </c>
    </row>
    <row r="26" spans="2:15" ht="15" customHeight="1" x14ac:dyDescent="0.25">
      <c r="B26" s="5" t="s">
        <v>48</v>
      </c>
      <c r="C26" s="7" t="s">
        <v>70</v>
      </c>
      <c r="D26" s="7" t="s">
        <v>89</v>
      </c>
      <c r="E26" s="7" t="s">
        <v>90</v>
      </c>
      <c r="F26" s="44">
        <v>210602</v>
      </c>
      <c r="G26" s="17">
        <f t="shared" si="0"/>
        <v>66</v>
      </c>
      <c r="H26" s="25">
        <f t="shared" si="1"/>
        <v>7</v>
      </c>
      <c r="I26" s="21">
        <f t="shared" si="2"/>
        <v>10.606060606060606</v>
      </c>
      <c r="J26" s="37">
        <f t="shared" si="3"/>
        <v>4</v>
      </c>
      <c r="K26" s="25">
        <f t="shared" si="4"/>
        <v>6.0606060606060606</v>
      </c>
      <c r="L26" s="21">
        <f t="shared" si="5"/>
        <v>3</v>
      </c>
      <c r="M26" s="17">
        <f t="shared" si="6"/>
        <v>4.5454545454545459</v>
      </c>
      <c r="N26" s="25">
        <f t="shared" si="7"/>
        <v>0</v>
      </c>
      <c r="O26" s="30">
        <f t="shared" si="8"/>
        <v>0</v>
      </c>
    </row>
    <row r="27" spans="2:15" ht="15" customHeight="1" x14ac:dyDescent="0.25">
      <c r="B27" s="5" t="s">
        <v>48</v>
      </c>
      <c r="C27" s="7" t="s">
        <v>70</v>
      </c>
      <c r="D27" s="7" t="s">
        <v>89</v>
      </c>
      <c r="E27" s="7" t="s">
        <v>91</v>
      </c>
      <c r="F27" s="44">
        <v>210605</v>
      </c>
      <c r="G27" s="17">
        <f t="shared" si="0"/>
        <v>99</v>
      </c>
      <c r="H27" s="25">
        <f t="shared" si="1"/>
        <v>1</v>
      </c>
      <c r="I27" s="21">
        <f t="shared" si="2"/>
        <v>1.0101010101010102</v>
      </c>
      <c r="J27" s="37">
        <f t="shared" si="3"/>
        <v>1</v>
      </c>
      <c r="K27" s="25">
        <f t="shared" si="4"/>
        <v>1.0101010101010102</v>
      </c>
      <c r="L27" s="21">
        <f t="shared" si="5"/>
        <v>0</v>
      </c>
      <c r="M27" s="17">
        <f t="shared" si="6"/>
        <v>0</v>
      </c>
      <c r="N27" s="25">
        <f t="shared" si="7"/>
        <v>0</v>
      </c>
      <c r="O27" s="30">
        <f t="shared" si="8"/>
        <v>0</v>
      </c>
    </row>
    <row r="28" spans="2:15" ht="15" customHeight="1" x14ac:dyDescent="0.25">
      <c r="B28" s="5" t="s">
        <v>48</v>
      </c>
      <c r="C28" s="7" t="s">
        <v>70</v>
      </c>
      <c r="D28" s="7" t="s">
        <v>89</v>
      </c>
      <c r="E28" s="7" t="s">
        <v>92</v>
      </c>
      <c r="F28" s="44">
        <v>210607</v>
      </c>
      <c r="G28" s="17">
        <f t="shared" si="0"/>
        <v>298</v>
      </c>
      <c r="H28" s="25">
        <f t="shared" si="1"/>
        <v>34</v>
      </c>
      <c r="I28" s="21">
        <f t="shared" si="2"/>
        <v>11.409395973154362</v>
      </c>
      <c r="J28" s="37">
        <f t="shared" si="3"/>
        <v>32</v>
      </c>
      <c r="K28" s="25">
        <f t="shared" si="4"/>
        <v>10.738255033557047</v>
      </c>
      <c r="L28" s="21">
        <f t="shared" si="5"/>
        <v>2</v>
      </c>
      <c r="M28" s="17">
        <f t="shared" si="6"/>
        <v>0.67114093959731547</v>
      </c>
      <c r="N28" s="25">
        <f t="shared" si="7"/>
        <v>0</v>
      </c>
      <c r="O28" s="30">
        <f t="shared" si="8"/>
        <v>0</v>
      </c>
    </row>
    <row r="29" spans="2:15" ht="15" customHeight="1" x14ac:dyDescent="0.25">
      <c r="B29" s="5" t="s">
        <v>48</v>
      </c>
      <c r="C29" s="7" t="s">
        <v>70</v>
      </c>
      <c r="D29" s="7" t="s">
        <v>89</v>
      </c>
      <c r="E29" s="7" t="s">
        <v>93</v>
      </c>
      <c r="F29" s="44">
        <v>210608</v>
      </c>
      <c r="G29" s="17">
        <f t="shared" si="0"/>
        <v>100</v>
      </c>
      <c r="H29" s="25">
        <f t="shared" si="1"/>
        <v>4</v>
      </c>
      <c r="I29" s="21">
        <f t="shared" si="2"/>
        <v>4</v>
      </c>
      <c r="J29" s="37">
        <f t="shared" si="3"/>
        <v>4</v>
      </c>
      <c r="K29" s="25">
        <f t="shared" si="4"/>
        <v>4</v>
      </c>
      <c r="L29" s="21">
        <f t="shared" si="5"/>
        <v>0</v>
      </c>
      <c r="M29" s="17">
        <f t="shared" si="6"/>
        <v>0</v>
      </c>
      <c r="N29" s="25">
        <f t="shared" si="7"/>
        <v>0</v>
      </c>
      <c r="O29" s="30">
        <f t="shared" si="8"/>
        <v>0</v>
      </c>
    </row>
    <row r="30" spans="2:15" ht="15" customHeight="1" x14ac:dyDescent="0.25">
      <c r="B30" s="5" t="s">
        <v>48</v>
      </c>
      <c r="C30" s="7" t="s">
        <v>70</v>
      </c>
      <c r="D30" s="7" t="s">
        <v>94</v>
      </c>
      <c r="E30" s="7" t="s">
        <v>94</v>
      </c>
      <c r="F30" s="44">
        <v>210901</v>
      </c>
      <c r="G30" s="17">
        <f t="shared" si="0"/>
        <v>241</v>
      </c>
      <c r="H30" s="25">
        <f t="shared" si="1"/>
        <v>14</v>
      </c>
      <c r="I30" s="21">
        <f t="shared" si="2"/>
        <v>5.809128630705394</v>
      </c>
      <c r="J30" s="37">
        <f t="shared" si="3"/>
        <v>13</v>
      </c>
      <c r="K30" s="25">
        <f t="shared" si="4"/>
        <v>5.394190871369295</v>
      </c>
      <c r="L30" s="21">
        <f t="shared" si="5"/>
        <v>1</v>
      </c>
      <c r="M30" s="17">
        <f t="shared" si="6"/>
        <v>0.41493775933609961</v>
      </c>
      <c r="N30" s="25">
        <f t="shared" si="7"/>
        <v>0</v>
      </c>
      <c r="O30" s="30">
        <f t="shared" si="8"/>
        <v>0</v>
      </c>
    </row>
    <row r="31" spans="2:15" ht="15" customHeight="1" x14ac:dyDescent="0.25">
      <c r="B31" s="5" t="s">
        <v>48</v>
      </c>
      <c r="C31" s="7" t="s">
        <v>70</v>
      </c>
      <c r="D31" s="7" t="s">
        <v>94</v>
      </c>
      <c r="E31" s="7" t="s">
        <v>95</v>
      </c>
      <c r="F31" s="44">
        <v>210902</v>
      </c>
      <c r="G31" s="17">
        <f t="shared" si="0"/>
        <v>47</v>
      </c>
      <c r="H31" s="25">
        <f t="shared" si="1"/>
        <v>10</v>
      </c>
      <c r="I31" s="21">
        <f t="shared" si="2"/>
        <v>21.276595744680851</v>
      </c>
      <c r="J31" s="37">
        <f t="shared" si="3"/>
        <v>7</v>
      </c>
      <c r="K31" s="25">
        <f t="shared" si="4"/>
        <v>14.893617021276595</v>
      </c>
      <c r="L31" s="21">
        <f t="shared" si="5"/>
        <v>3</v>
      </c>
      <c r="M31" s="17">
        <f t="shared" si="6"/>
        <v>6.3829787234042552</v>
      </c>
      <c r="N31" s="25">
        <f t="shared" si="7"/>
        <v>0</v>
      </c>
      <c r="O31" s="30">
        <f t="shared" si="8"/>
        <v>0</v>
      </c>
    </row>
    <row r="32" spans="2:15" ht="15" customHeight="1" x14ac:dyDescent="0.25">
      <c r="B32" s="5" t="s">
        <v>48</v>
      </c>
      <c r="C32" s="7" t="s">
        <v>70</v>
      </c>
      <c r="D32" s="7" t="s">
        <v>94</v>
      </c>
      <c r="E32" s="7" t="s">
        <v>96</v>
      </c>
      <c r="F32" s="44">
        <v>210903</v>
      </c>
      <c r="G32" s="17">
        <f t="shared" si="0"/>
        <v>65</v>
      </c>
      <c r="H32" s="25">
        <f t="shared" si="1"/>
        <v>6</v>
      </c>
      <c r="I32" s="21">
        <f t="shared" si="2"/>
        <v>9.2307692307692317</v>
      </c>
      <c r="J32" s="37">
        <f t="shared" si="3"/>
        <v>6</v>
      </c>
      <c r="K32" s="25">
        <f t="shared" si="4"/>
        <v>9.2307692307692317</v>
      </c>
      <c r="L32" s="21">
        <f t="shared" si="5"/>
        <v>0</v>
      </c>
      <c r="M32" s="17">
        <f t="shared" si="6"/>
        <v>0</v>
      </c>
      <c r="N32" s="25">
        <f t="shared" si="7"/>
        <v>0</v>
      </c>
      <c r="O32" s="30">
        <f t="shared" si="8"/>
        <v>0</v>
      </c>
    </row>
    <row r="33" spans="2:15" ht="15" customHeight="1" x14ac:dyDescent="0.25">
      <c r="B33" s="5" t="s">
        <v>48</v>
      </c>
      <c r="C33" s="7" t="s">
        <v>70</v>
      </c>
      <c r="D33" s="7" t="s">
        <v>94</v>
      </c>
      <c r="E33" s="7" t="s">
        <v>97</v>
      </c>
      <c r="F33" s="44">
        <v>210904</v>
      </c>
      <c r="G33" s="17">
        <f t="shared" si="0"/>
        <v>48</v>
      </c>
      <c r="H33" s="25">
        <f t="shared" si="1"/>
        <v>6</v>
      </c>
      <c r="I33" s="21">
        <f t="shared" si="2"/>
        <v>12.5</v>
      </c>
      <c r="J33" s="37">
        <f t="shared" si="3"/>
        <v>6</v>
      </c>
      <c r="K33" s="25">
        <f t="shared" si="4"/>
        <v>12.5</v>
      </c>
      <c r="L33" s="21">
        <f t="shared" si="5"/>
        <v>0</v>
      </c>
      <c r="M33" s="17">
        <f t="shared" si="6"/>
        <v>0</v>
      </c>
      <c r="N33" s="25">
        <f t="shared" si="7"/>
        <v>0</v>
      </c>
      <c r="O33" s="30">
        <f t="shared" si="8"/>
        <v>0</v>
      </c>
    </row>
    <row r="34" spans="2:15" ht="15" customHeight="1" x14ac:dyDescent="0.25">
      <c r="B34" s="5" t="s">
        <v>48</v>
      </c>
      <c r="C34" s="7" t="s">
        <v>70</v>
      </c>
      <c r="D34" s="7" t="s">
        <v>98</v>
      </c>
      <c r="E34" s="7" t="s">
        <v>99</v>
      </c>
      <c r="F34" s="44">
        <v>211002</v>
      </c>
      <c r="G34" s="17">
        <f t="shared" si="0"/>
        <v>92</v>
      </c>
      <c r="H34" s="25">
        <f t="shared" si="1"/>
        <v>12</v>
      </c>
      <c r="I34" s="21">
        <f t="shared" si="2"/>
        <v>13.043478260869565</v>
      </c>
      <c r="J34" s="37">
        <f t="shared" si="3"/>
        <v>10</v>
      </c>
      <c r="K34" s="25">
        <f t="shared" si="4"/>
        <v>10.869565217391305</v>
      </c>
      <c r="L34" s="21">
        <f t="shared" si="5"/>
        <v>1</v>
      </c>
      <c r="M34" s="17">
        <f t="shared" si="6"/>
        <v>1.0869565217391304</v>
      </c>
      <c r="N34" s="25">
        <f t="shared" si="7"/>
        <v>1</v>
      </c>
      <c r="O34" s="30">
        <f t="shared" si="8"/>
        <v>1.0869565217391304</v>
      </c>
    </row>
    <row r="35" spans="2:15" ht="15" customHeight="1" x14ac:dyDescent="0.25">
      <c r="B35" s="5" t="s">
        <v>48</v>
      </c>
      <c r="C35" s="7" t="s">
        <v>70</v>
      </c>
      <c r="D35" s="7" t="s">
        <v>98</v>
      </c>
      <c r="E35" s="7" t="s">
        <v>100</v>
      </c>
      <c r="F35" s="44">
        <v>211005</v>
      </c>
      <c r="G35" s="17">
        <f t="shared" si="0"/>
        <v>38</v>
      </c>
      <c r="H35" s="25">
        <f t="shared" si="1"/>
        <v>0</v>
      </c>
      <c r="I35" s="21">
        <f t="shared" si="2"/>
        <v>0</v>
      </c>
      <c r="J35" s="37">
        <f t="shared" si="3"/>
        <v>0</v>
      </c>
      <c r="K35" s="25">
        <f t="shared" si="4"/>
        <v>0</v>
      </c>
      <c r="L35" s="21">
        <f t="shared" si="5"/>
        <v>0</v>
      </c>
      <c r="M35" s="17">
        <f t="shared" si="6"/>
        <v>0</v>
      </c>
      <c r="N35" s="25">
        <f t="shared" si="7"/>
        <v>0</v>
      </c>
      <c r="O35" s="30">
        <f t="shared" si="8"/>
        <v>0</v>
      </c>
    </row>
    <row r="36" spans="2:15" ht="15" customHeight="1" x14ac:dyDescent="0.25">
      <c r="B36" s="5" t="s">
        <v>48</v>
      </c>
      <c r="C36" s="7" t="s">
        <v>70</v>
      </c>
      <c r="D36" s="7" t="s">
        <v>101</v>
      </c>
      <c r="E36" s="7" t="s">
        <v>102</v>
      </c>
      <c r="F36" s="44">
        <v>211207</v>
      </c>
      <c r="G36" s="17">
        <f t="shared" si="0"/>
        <v>80</v>
      </c>
      <c r="H36" s="25">
        <f t="shared" si="1"/>
        <v>38</v>
      </c>
      <c r="I36" s="21">
        <f t="shared" si="2"/>
        <v>47.5</v>
      </c>
      <c r="J36" s="37">
        <f t="shared" si="3"/>
        <v>22</v>
      </c>
      <c r="K36" s="25">
        <f t="shared" si="4"/>
        <v>27.500000000000004</v>
      </c>
      <c r="L36" s="21">
        <f t="shared" si="5"/>
        <v>16</v>
      </c>
      <c r="M36" s="17">
        <f t="shared" si="6"/>
        <v>20</v>
      </c>
      <c r="N36" s="25">
        <f t="shared" si="7"/>
        <v>0</v>
      </c>
      <c r="O36" s="30">
        <f t="shared" si="8"/>
        <v>0</v>
      </c>
    </row>
    <row r="37" spans="2:15" ht="15" customHeight="1" x14ac:dyDescent="0.25">
      <c r="B37" s="5" t="s">
        <v>48</v>
      </c>
      <c r="C37" s="7" t="s">
        <v>70</v>
      </c>
      <c r="D37" s="7" t="s">
        <v>101</v>
      </c>
      <c r="E37" s="7" t="s">
        <v>103</v>
      </c>
      <c r="F37" s="44">
        <v>211208</v>
      </c>
      <c r="G37" s="17">
        <f t="shared" si="0"/>
        <v>52</v>
      </c>
      <c r="H37" s="25">
        <f t="shared" si="1"/>
        <v>25</v>
      </c>
      <c r="I37" s="21">
        <f t="shared" si="2"/>
        <v>48.07692307692308</v>
      </c>
      <c r="J37" s="37">
        <f t="shared" si="3"/>
        <v>22</v>
      </c>
      <c r="K37" s="25">
        <f t="shared" si="4"/>
        <v>42.307692307692307</v>
      </c>
      <c r="L37" s="21">
        <f t="shared" si="5"/>
        <v>3</v>
      </c>
      <c r="M37" s="17">
        <f t="shared" si="6"/>
        <v>5.7692307692307692</v>
      </c>
      <c r="N37" s="25">
        <f t="shared" si="7"/>
        <v>0</v>
      </c>
      <c r="O37" s="30">
        <f t="shared" si="8"/>
        <v>0</v>
      </c>
    </row>
    <row r="38" spans="2:15" ht="15" customHeight="1" x14ac:dyDescent="0.25">
      <c r="B38" s="5" t="s">
        <v>48</v>
      </c>
      <c r="C38" s="7" t="s">
        <v>70</v>
      </c>
      <c r="D38" s="7" t="s">
        <v>101</v>
      </c>
      <c r="E38" s="7" t="s">
        <v>104</v>
      </c>
      <c r="F38" s="44">
        <v>211210</v>
      </c>
      <c r="G38" s="17">
        <f t="shared" si="0"/>
        <v>272</v>
      </c>
      <c r="H38" s="25">
        <f t="shared" si="1"/>
        <v>111</v>
      </c>
      <c r="I38" s="21">
        <f t="shared" si="2"/>
        <v>40.808823529411761</v>
      </c>
      <c r="J38" s="37">
        <f t="shared" si="3"/>
        <v>79</v>
      </c>
      <c r="K38" s="25">
        <f t="shared" si="4"/>
        <v>29.044117647058826</v>
      </c>
      <c r="L38" s="21">
        <f t="shared" si="5"/>
        <v>32</v>
      </c>
      <c r="M38" s="17">
        <f t="shared" si="6"/>
        <v>11.76470588235294</v>
      </c>
      <c r="N38" s="25">
        <f t="shared" si="7"/>
        <v>0</v>
      </c>
      <c r="O38" s="30">
        <f t="shared" si="8"/>
        <v>0</v>
      </c>
    </row>
    <row r="39" spans="2:15" ht="15" customHeight="1" x14ac:dyDescent="0.25">
      <c r="B39" s="5" t="s">
        <v>48</v>
      </c>
      <c r="C39" s="7" t="s">
        <v>70</v>
      </c>
      <c r="D39" s="7" t="s">
        <v>105</v>
      </c>
      <c r="E39" s="7" t="s">
        <v>105</v>
      </c>
      <c r="F39" s="44">
        <v>211301</v>
      </c>
      <c r="G39" s="17">
        <f t="shared" si="0"/>
        <v>548</v>
      </c>
      <c r="H39" s="25">
        <f t="shared" si="1"/>
        <v>163</v>
      </c>
      <c r="I39" s="21">
        <f t="shared" si="2"/>
        <v>29.744525547445257</v>
      </c>
      <c r="J39" s="37">
        <f t="shared" si="3"/>
        <v>130</v>
      </c>
      <c r="K39" s="25">
        <f t="shared" si="4"/>
        <v>23.722627737226276</v>
      </c>
      <c r="L39" s="21">
        <f t="shared" si="5"/>
        <v>32</v>
      </c>
      <c r="M39" s="17">
        <f t="shared" si="6"/>
        <v>5.8394160583941606</v>
      </c>
      <c r="N39" s="25">
        <f t="shared" si="7"/>
        <v>1</v>
      </c>
      <c r="O39" s="30">
        <f t="shared" si="8"/>
        <v>0.18248175182481752</v>
      </c>
    </row>
    <row r="40" spans="2:15" ht="15" customHeight="1" x14ac:dyDescent="0.25">
      <c r="B40" s="5" t="s">
        <v>48</v>
      </c>
      <c r="C40" s="7" t="s">
        <v>70</v>
      </c>
      <c r="D40" s="7" t="s">
        <v>105</v>
      </c>
      <c r="E40" s="7" t="s">
        <v>106</v>
      </c>
      <c r="F40" s="44">
        <v>211302</v>
      </c>
      <c r="G40" s="17">
        <f t="shared" si="0"/>
        <v>16</v>
      </c>
      <c r="H40" s="25">
        <f t="shared" si="1"/>
        <v>2</v>
      </c>
      <c r="I40" s="21">
        <f t="shared" si="2"/>
        <v>12.5</v>
      </c>
      <c r="J40" s="37">
        <f t="shared" si="3"/>
        <v>1</v>
      </c>
      <c r="K40" s="25">
        <f t="shared" si="4"/>
        <v>6.25</v>
      </c>
      <c r="L40" s="21">
        <f t="shared" si="5"/>
        <v>1</v>
      </c>
      <c r="M40" s="17">
        <f t="shared" si="6"/>
        <v>6.25</v>
      </c>
      <c r="N40" s="25">
        <f t="shared" si="7"/>
        <v>0</v>
      </c>
      <c r="O40" s="30">
        <f t="shared" si="8"/>
        <v>0</v>
      </c>
    </row>
    <row r="41" spans="2:15" ht="15" customHeight="1" x14ac:dyDescent="0.25">
      <c r="B41" s="5" t="s">
        <v>48</v>
      </c>
      <c r="C41" s="7" t="s">
        <v>70</v>
      </c>
      <c r="D41" s="7" t="s">
        <v>105</v>
      </c>
      <c r="E41" s="7" t="s">
        <v>107</v>
      </c>
      <c r="F41" s="44">
        <v>211303</v>
      </c>
      <c r="G41" s="17">
        <f t="shared" si="0"/>
        <v>83</v>
      </c>
      <c r="H41" s="25">
        <f t="shared" si="1"/>
        <v>23</v>
      </c>
      <c r="I41" s="21">
        <f t="shared" si="2"/>
        <v>27.710843373493976</v>
      </c>
      <c r="J41" s="37">
        <f t="shared" si="3"/>
        <v>18</v>
      </c>
      <c r="K41" s="25">
        <f t="shared" si="4"/>
        <v>21.686746987951807</v>
      </c>
      <c r="L41" s="21">
        <f t="shared" si="5"/>
        <v>5</v>
      </c>
      <c r="M41" s="17">
        <f t="shared" si="6"/>
        <v>6.024096385542169</v>
      </c>
      <c r="N41" s="25">
        <f t="shared" si="7"/>
        <v>0</v>
      </c>
      <c r="O41" s="30">
        <f t="shared" si="8"/>
        <v>0</v>
      </c>
    </row>
    <row r="42" spans="2:15" ht="15" customHeight="1" x14ac:dyDescent="0.25">
      <c r="B42" s="5" t="s">
        <v>48</v>
      </c>
      <c r="C42" s="7" t="s">
        <v>70</v>
      </c>
      <c r="D42" s="7" t="s">
        <v>105</v>
      </c>
      <c r="E42" s="7" t="s">
        <v>108</v>
      </c>
      <c r="F42" s="44">
        <v>211304</v>
      </c>
      <c r="G42" s="17">
        <f t="shared" si="0"/>
        <v>17</v>
      </c>
      <c r="H42" s="25">
        <f t="shared" si="1"/>
        <v>1</v>
      </c>
      <c r="I42" s="21">
        <f t="shared" si="2"/>
        <v>5.8823529411764701</v>
      </c>
      <c r="J42" s="37">
        <f t="shared" si="3"/>
        <v>1</v>
      </c>
      <c r="K42" s="25">
        <f t="shared" si="4"/>
        <v>5.8823529411764701</v>
      </c>
      <c r="L42" s="21">
        <f t="shared" si="5"/>
        <v>0</v>
      </c>
      <c r="M42" s="17">
        <f t="shared" si="6"/>
        <v>0</v>
      </c>
      <c r="N42" s="25">
        <f t="shared" si="7"/>
        <v>0</v>
      </c>
      <c r="O42" s="30">
        <f t="shared" si="8"/>
        <v>0</v>
      </c>
    </row>
    <row r="43" spans="2:15" ht="15" customHeight="1" x14ac:dyDescent="0.25">
      <c r="B43" s="5" t="s">
        <v>48</v>
      </c>
      <c r="C43" s="7" t="s">
        <v>70</v>
      </c>
      <c r="D43" s="7" t="s">
        <v>105</v>
      </c>
      <c r="E43" s="7" t="s">
        <v>109</v>
      </c>
      <c r="F43" s="44">
        <v>211305</v>
      </c>
      <c r="G43" s="17">
        <f t="shared" si="0"/>
        <v>30</v>
      </c>
      <c r="H43" s="25">
        <f t="shared" si="1"/>
        <v>5</v>
      </c>
      <c r="I43" s="21">
        <f t="shared" si="2"/>
        <v>16.666666666666664</v>
      </c>
      <c r="J43" s="37">
        <f t="shared" si="3"/>
        <v>2</v>
      </c>
      <c r="K43" s="25">
        <f t="shared" si="4"/>
        <v>6.666666666666667</v>
      </c>
      <c r="L43" s="21">
        <f t="shared" si="5"/>
        <v>3</v>
      </c>
      <c r="M43" s="17">
        <f t="shared" si="6"/>
        <v>10</v>
      </c>
      <c r="N43" s="25">
        <f t="shared" si="7"/>
        <v>0</v>
      </c>
      <c r="O43" s="30">
        <f t="shared" si="8"/>
        <v>0</v>
      </c>
    </row>
    <row r="44" spans="2:15" ht="15" customHeight="1" x14ac:dyDescent="0.25">
      <c r="B44" s="5" t="s">
        <v>48</v>
      </c>
      <c r="C44" s="7" t="s">
        <v>70</v>
      </c>
      <c r="D44" s="7" t="s">
        <v>105</v>
      </c>
      <c r="E44" s="7" t="s">
        <v>110</v>
      </c>
      <c r="F44" s="44">
        <v>211306</v>
      </c>
      <c r="G44" s="17">
        <f t="shared" si="0"/>
        <v>16</v>
      </c>
      <c r="H44" s="25">
        <f t="shared" si="1"/>
        <v>0</v>
      </c>
      <c r="I44" s="21">
        <f t="shared" si="2"/>
        <v>0</v>
      </c>
      <c r="J44" s="37">
        <f t="shared" si="3"/>
        <v>0</v>
      </c>
      <c r="K44" s="25">
        <f t="shared" si="4"/>
        <v>0</v>
      </c>
      <c r="L44" s="21">
        <f t="shared" si="5"/>
        <v>0</v>
      </c>
      <c r="M44" s="17">
        <f t="shared" si="6"/>
        <v>0</v>
      </c>
      <c r="N44" s="25">
        <f t="shared" si="7"/>
        <v>0</v>
      </c>
      <c r="O44" s="30">
        <f t="shared" si="8"/>
        <v>0</v>
      </c>
    </row>
    <row r="45" spans="2:15" ht="15" customHeight="1" x14ac:dyDescent="0.25">
      <c r="B45" s="5" t="s">
        <v>48</v>
      </c>
      <c r="C45" s="7" t="s">
        <v>70</v>
      </c>
      <c r="D45" s="7" t="s">
        <v>105</v>
      </c>
      <c r="E45" s="7" t="s">
        <v>111</v>
      </c>
      <c r="F45" s="44">
        <v>211307</v>
      </c>
      <c r="G45" s="17">
        <f t="shared" si="0"/>
        <v>15</v>
      </c>
      <c r="H45" s="25">
        <f t="shared" si="1"/>
        <v>4</v>
      </c>
      <c r="I45" s="21">
        <f t="shared" si="2"/>
        <v>26.666666666666668</v>
      </c>
      <c r="J45" s="37">
        <f t="shared" si="3"/>
        <v>4</v>
      </c>
      <c r="K45" s="25">
        <f t="shared" si="4"/>
        <v>26.666666666666668</v>
      </c>
      <c r="L45" s="21">
        <f t="shared" si="5"/>
        <v>0</v>
      </c>
      <c r="M45" s="17">
        <f t="shared" si="6"/>
        <v>0</v>
      </c>
      <c r="N45" s="25">
        <f t="shared" si="7"/>
        <v>0</v>
      </c>
      <c r="O45" s="30">
        <f t="shared" si="8"/>
        <v>0</v>
      </c>
    </row>
    <row r="46" spans="2:15" ht="15" customHeight="1" x14ac:dyDescent="0.25">
      <c r="B46" s="5" t="s">
        <v>48</v>
      </c>
      <c r="C46" s="7" t="s">
        <v>112</v>
      </c>
      <c r="D46" s="7" t="s">
        <v>112</v>
      </c>
      <c r="E46" s="7" t="s">
        <v>113</v>
      </c>
      <c r="F46" s="44">
        <v>230107</v>
      </c>
      <c r="G46" s="17">
        <f t="shared" si="0"/>
        <v>32</v>
      </c>
      <c r="H46" s="25">
        <f t="shared" si="1"/>
        <v>7</v>
      </c>
      <c r="I46" s="21">
        <f t="shared" si="2"/>
        <v>21.875</v>
      </c>
      <c r="J46" s="37">
        <f t="shared" si="3"/>
        <v>3</v>
      </c>
      <c r="K46" s="25">
        <f t="shared" si="4"/>
        <v>9.375</v>
      </c>
      <c r="L46" s="21">
        <f t="shared" si="5"/>
        <v>4</v>
      </c>
      <c r="M46" s="17">
        <f t="shared" si="6"/>
        <v>12.5</v>
      </c>
      <c r="N46" s="25">
        <f t="shared" si="7"/>
        <v>0</v>
      </c>
      <c r="O46" s="30">
        <f t="shared" si="8"/>
        <v>0</v>
      </c>
    </row>
    <row r="47" spans="2:15" ht="15" customHeight="1" thickBot="1" x14ac:dyDescent="0.3">
      <c r="B47" s="5" t="s">
        <v>48</v>
      </c>
      <c r="C47" s="7" t="s">
        <v>112</v>
      </c>
      <c r="D47" s="7" t="s">
        <v>114</v>
      </c>
      <c r="E47" s="7" t="s">
        <v>114</v>
      </c>
      <c r="F47" s="44">
        <v>230401</v>
      </c>
      <c r="G47" s="17">
        <f t="shared" si="0"/>
        <v>67</v>
      </c>
      <c r="H47" s="25">
        <f t="shared" si="1"/>
        <v>29</v>
      </c>
      <c r="I47" s="21">
        <f t="shared" si="2"/>
        <v>43.283582089552233</v>
      </c>
      <c r="J47" s="37">
        <f t="shared" si="3"/>
        <v>11</v>
      </c>
      <c r="K47" s="25">
        <f t="shared" si="4"/>
        <v>16.417910447761194</v>
      </c>
      <c r="L47" s="21">
        <f t="shared" si="5"/>
        <v>18</v>
      </c>
      <c r="M47" s="17">
        <f t="shared" si="6"/>
        <v>26.865671641791046</v>
      </c>
      <c r="N47" s="25">
        <f t="shared" si="7"/>
        <v>0</v>
      </c>
      <c r="O47" s="30">
        <f t="shared" si="8"/>
        <v>0</v>
      </c>
    </row>
    <row r="48" spans="2:15" ht="15" customHeight="1" thickBot="1" x14ac:dyDescent="0.3">
      <c r="B48" s="81"/>
      <c r="C48" s="71"/>
      <c r="D48" s="71" t="str">
        <f>UPPER(_xlfn.CONCAT("Total ",B47))</f>
        <v>TOTAL ZONA ALTIPLÁNICA</v>
      </c>
      <c r="E48" s="71"/>
      <c r="F48" s="82"/>
      <c r="G48" s="19">
        <f>SUM(G7:G47)</f>
        <v>8847</v>
      </c>
      <c r="H48" s="27">
        <f>SUM(H7:H47)</f>
        <v>1857</v>
      </c>
      <c r="I48" s="23">
        <f>H48/G48*100</f>
        <v>20.990166158019669</v>
      </c>
      <c r="J48" s="39">
        <f>SUM(J7:J47)</f>
        <v>1441</v>
      </c>
      <c r="K48" s="27">
        <f>SUM(K7:K47)</f>
        <v>602.46731217960337</v>
      </c>
      <c r="L48" s="23">
        <f>SUM(L7:L47)</f>
        <v>397</v>
      </c>
      <c r="M48" s="19">
        <f>SUM(M7:M47)</f>
        <v>210.51395859328468</v>
      </c>
      <c r="N48" s="27">
        <f>SUM(N7:N47)</f>
        <v>19</v>
      </c>
      <c r="O48" s="34">
        <f>N48/M48*100</f>
        <v>9.025529768649788</v>
      </c>
    </row>
    <row r="49" spans="2:15" ht="15" customHeight="1" x14ac:dyDescent="0.25">
      <c r="B49" s="5" t="s">
        <v>115</v>
      </c>
      <c r="C49" s="7" t="s">
        <v>116</v>
      </c>
      <c r="D49" s="7" t="s">
        <v>117</v>
      </c>
      <c r="E49" s="7" t="s">
        <v>118</v>
      </c>
      <c r="F49" s="44">
        <v>170301</v>
      </c>
      <c r="G49" s="17">
        <f>IFERROR(VLOOKUP($F49,distrito635,2,0),"-")</f>
        <v>59</v>
      </c>
      <c r="H49" s="25">
        <f>IFERROR(VLOOKUP($F49,distrito635,3,0),"-")</f>
        <v>4</v>
      </c>
      <c r="I49" s="21">
        <f>IFERROR(VLOOKUP($F49,distrito635,4,0),"-")</f>
        <v>6.7796610169491522</v>
      </c>
      <c r="J49" s="37">
        <f>IFERROR(VLOOKUP($F49,distrito635,5,0),"-")</f>
        <v>3</v>
      </c>
      <c r="K49" s="25">
        <f>IFERROR(VLOOKUP($F49,distrito635,6,0),"-")</f>
        <v>5.0847457627118651</v>
      </c>
      <c r="L49" s="21">
        <f>IFERROR(VLOOKUP($F49,distrito635,7,0),"-")</f>
        <v>1</v>
      </c>
      <c r="M49" s="17">
        <f>IFERROR(VLOOKUP($F49,distrito635,8,0),"-")</f>
        <v>1.6949152542372881</v>
      </c>
      <c r="N49" s="25">
        <f>IFERROR(VLOOKUP($F49,distrito635,9,0),"-")</f>
        <v>0</v>
      </c>
      <c r="O49" s="30">
        <f>IFERROR(VLOOKUP($F49,distrito635,10,0),"-")</f>
        <v>0</v>
      </c>
    </row>
    <row r="50" spans="2:15" ht="15" customHeight="1" x14ac:dyDescent="0.25">
      <c r="B50" s="5" t="s">
        <v>115</v>
      </c>
      <c r="C50" s="7" t="s">
        <v>116</v>
      </c>
      <c r="D50" s="7" t="s">
        <v>117</v>
      </c>
      <c r="E50" s="7" t="s">
        <v>119</v>
      </c>
      <c r="F50" s="44">
        <v>170302</v>
      </c>
      <c r="G50" s="17">
        <f>IFERROR(VLOOKUP($F50,distrito635,2,0),"-")</f>
        <v>246</v>
      </c>
      <c r="H50" s="25">
        <f>IFERROR(VLOOKUP($F50,distrito635,3,0),"-")</f>
        <v>64</v>
      </c>
      <c r="I50" s="21">
        <f>IFERROR(VLOOKUP($F50,distrito635,4,0),"-")</f>
        <v>26.016260162601629</v>
      </c>
      <c r="J50" s="37">
        <f>IFERROR(VLOOKUP($F50,distrito635,5,0),"-")</f>
        <v>51</v>
      </c>
      <c r="K50" s="25">
        <f>IFERROR(VLOOKUP($F50,distrito635,6,0),"-")</f>
        <v>20.73170731707317</v>
      </c>
      <c r="L50" s="21">
        <f>IFERROR(VLOOKUP($F50,distrito635,7,0),"-")</f>
        <v>13</v>
      </c>
      <c r="M50" s="17">
        <f>IFERROR(VLOOKUP($F50,distrito635,8,0),"-")</f>
        <v>5.2845528455284558</v>
      </c>
      <c r="N50" s="25">
        <f>IFERROR(VLOOKUP($F50,distrito635,9,0),"-")</f>
        <v>0</v>
      </c>
      <c r="O50" s="30">
        <f>IFERROR(VLOOKUP($F50,distrito635,10,0),"-")</f>
        <v>0</v>
      </c>
    </row>
    <row r="51" spans="2:15" ht="15" customHeight="1" x14ac:dyDescent="0.25">
      <c r="B51" s="5" t="s">
        <v>115</v>
      </c>
      <c r="C51" s="7" t="s">
        <v>116</v>
      </c>
      <c r="D51" s="7" t="s">
        <v>117</v>
      </c>
      <c r="E51" s="7" t="s">
        <v>117</v>
      </c>
      <c r="F51" s="44">
        <v>170303</v>
      </c>
      <c r="G51" s="17">
        <f>IFERROR(VLOOKUP($F51,distrito635,2,0),"-")</f>
        <v>198</v>
      </c>
      <c r="H51" s="25">
        <f>IFERROR(VLOOKUP($F51,distrito635,3,0),"-")</f>
        <v>27</v>
      </c>
      <c r="I51" s="21">
        <f>IFERROR(VLOOKUP($F51,distrito635,4,0),"-")</f>
        <v>13.636363636363635</v>
      </c>
      <c r="J51" s="37">
        <f>IFERROR(VLOOKUP($F51,distrito635,5,0),"-")</f>
        <v>20</v>
      </c>
      <c r="K51" s="25">
        <f>IFERROR(VLOOKUP($F51,distrito635,6,0),"-")</f>
        <v>10.1010101010101</v>
      </c>
      <c r="L51" s="21">
        <f>IFERROR(VLOOKUP($F51,distrito635,7,0),"-")</f>
        <v>7</v>
      </c>
      <c r="M51" s="17">
        <f>IFERROR(VLOOKUP($F51,distrito635,8,0),"-")</f>
        <v>3.535353535353535</v>
      </c>
      <c r="N51" s="25">
        <f>IFERROR(VLOOKUP($F51,distrito635,9,0),"-")</f>
        <v>0</v>
      </c>
      <c r="O51" s="30">
        <f>IFERROR(VLOOKUP($F51,distrito635,10,0),"-")</f>
        <v>0</v>
      </c>
    </row>
    <row r="52" spans="2:15" ht="15" customHeight="1" x14ac:dyDescent="0.25">
      <c r="B52" s="5" t="s">
        <v>115</v>
      </c>
      <c r="C52" s="7" t="s">
        <v>116</v>
      </c>
      <c r="D52" s="7" t="s">
        <v>120</v>
      </c>
      <c r="E52" s="7" t="s">
        <v>120</v>
      </c>
      <c r="F52" s="44">
        <v>170101</v>
      </c>
      <c r="G52" s="17">
        <f>IFERROR(VLOOKUP($F52,distrito635,2,0),"-")</f>
        <v>3047</v>
      </c>
      <c r="H52" s="25">
        <f>IFERROR(VLOOKUP($F52,distrito635,3,0),"-")</f>
        <v>384</v>
      </c>
      <c r="I52" s="21">
        <f>IFERROR(VLOOKUP($F52,distrito635,4,0),"-")</f>
        <v>12.602559894978668</v>
      </c>
      <c r="J52" s="37">
        <f>IFERROR(VLOOKUP($F52,distrito635,5,0),"-")</f>
        <v>278</v>
      </c>
      <c r="K52" s="25">
        <f>IFERROR(VLOOKUP($F52,distrito635,6,0),"-")</f>
        <v>9.1237282573022647</v>
      </c>
      <c r="L52" s="21">
        <f>IFERROR(VLOOKUP($F52,distrito635,7,0),"-")</f>
        <v>106</v>
      </c>
      <c r="M52" s="17">
        <f>IFERROR(VLOOKUP($F52,distrito635,8,0),"-")</f>
        <v>3.4788316376764028</v>
      </c>
      <c r="N52" s="25">
        <f>IFERROR(VLOOKUP($F52,distrito635,9,0),"-")</f>
        <v>0</v>
      </c>
      <c r="O52" s="30">
        <f>IFERROR(VLOOKUP($F52,distrito635,10,0),"-")</f>
        <v>0</v>
      </c>
    </row>
    <row r="53" spans="2:15" ht="15" customHeight="1" thickBot="1" x14ac:dyDescent="0.3">
      <c r="B53" s="5" t="s">
        <v>115</v>
      </c>
      <c r="C53" s="7" t="s">
        <v>116</v>
      </c>
      <c r="D53" s="7" t="s">
        <v>120</v>
      </c>
      <c r="E53" s="7" t="s">
        <v>121</v>
      </c>
      <c r="F53" s="44">
        <v>170103</v>
      </c>
      <c r="G53" s="17">
        <f>IFERROR(VLOOKUP($F53,distrito635,2,0),"-")</f>
        <v>741</v>
      </c>
      <c r="H53" s="25">
        <f>IFERROR(VLOOKUP($F53,distrito635,3,0),"-")</f>
        <v>98</v>
      </c>
      <c r="I53" s="21">
        <f>IFERROR(VLOOKUP($F53,distrito635,4,0),"-")</f>
        <v>13.225371120107962</v>
      </c>
      <c r="J53" s="37">
        <f>IFERROR(VLOOKUP($F53,distrito635,5,0),"-")</f>
        <v>80</v>
      </c>
      <c r="K53" s="25">
        <f>IFERROR(VLOOKUP($F53,distrito635,6,0),"-")</f>
        <v>10.796221322537113</v>
      </c>
      <c r="L53" s="21">
        <f>IFERROR(VLOOKUP($F53,distrito635,7,0),"-")</f>
        <v>18</v>
      </c>
      <c r="M53" s="17">
        <f>IFERROR(VLOOKUP($F53,distrito635,8,0),"-")</f>
        <v>2.42914979757085</v>
      </c>
      <c r="N53" s="25">
        <f>IFERROR(VLOOKUP($F53,distrito635,9,0),"-")</f>
        <v>0</v>
      </c>
      <c r="O53" s="30">
        <f>IFERROR(VLOOKUP($F53,distrito635,10,0),"-")</f>
        <v>0</v>
      </c>
    </row>
    <row r="54" spans="2:15" ht="15" customHeight="1" thickBot="1" x14ac:dyDescent="0.3">
      <c r="B54" s="81"/>
      <c r="C54" s="71"/>
      <c r="D54" s="71" t="str">
        <f>UPPER(_xlfn.CONCAT("Total ",B53))</f>
        <v>TOTAL ZONA AMAZÓNICA ARTICULADA</v>
      </c>
      <c r="E54" s="71"/>
      <c r="F54" s="82"/>
      <c r="G54" s="19">
        <f>SUM(G49:G53)</f>
        <v>4291</v>
      </c>
      <c r="H54" s="27">
        <f>SUM(H49:H53)</f>
        <v>577</v>
      </c>
      <c r="I54" s="23">
        <f>H54/G54*100</f>
        <v>13.446749009554882</v>
      </c>
      <c r="J54" s="39">
        <f>SUM(J49:J53)</f>
        <v>432</v>
      </c>
      <c r="K54" s="27">
        <f>SUM(K49:K53)</f>
        <v>55.837412760634514</v>
      </c>
      <c r="L54" s="23">
        <f>SUM(L49:L53)</f>
        <v>145</v>
      </c>
      <c r="M54" s="19">
        <f>SUM(M49:M53)</f>
        <v>16.422803070366534</v>
      </c>
      <c r="N54" s="27">
        <f>SUM(N49:N53)</f>
        <v>0</v>
      </c>
      <c r="O54" s="34">
        <f>N54/M54*100</f>
        <v>0</v>
      </c>
    </row>
    <row r="55" spans="2:15" ht="15" customHeight="1" x14ac:dyDescent="0.25">
      <c r="B55" s="5" t="s">
        <v>122</v>
      </c>
      <c r="C55" s="7" t="s">
        <v>123</v>
      </c>
      <c r="D55" s="7" t="s">
        <v>124</v>
      </c>
      <c r="E55" s="7" t="s">
        <v>125</v>
      </c>
      <c r="F55" s="44">
        <v>10205</v>
      </c>
      <c r="G55" s="17">
        <f t="shared" ref="G55:G75" si="9">IFERROR(VLOOKUP($F55,distrito635,2,0),"-")</f>
        <v>3208</v>
      </c>
      <c r="H55" s="25">
        <f t="shared" ref="H55:H75" si="10">IFERROR(VLOOKUP($F55,distrito635,3,0),"-")</f>
        <v>456</v>
      </c>
      <c r="I55" s="21">
        <f t="shared" ref="I55:I75" si="11">IFERROR(VLOOKUP($F55,distrito635,4,0),"-")</f>
        <v>14.214463840399002</v>
      </c>
      <c r="J55" s="37">
        <f t="shared" ref="J55:J75" si="12">IFERROR(VLOOKUP($F55,distrito635,5,0),"-")</f>
        <v>350</v>
      </c>
      <c r="K55" s="25">
        <f t="shared" ref="K55:K75" si="13">IFERROR(VLOOKUP($F55,distrito635,6,0),"-")</f>
        <v>10.910224438902743</v>
      </c>
      <c r="L55" s="21">
        <f t="shared" ref="L55:L75" si="14">IFERROR(VLOOKUP($F55,distrito635,7,0),"-")</f>
        <v>103</v>
      </c>
      <c r="M55" s="17">
        <f t="shared" ref="M55:M75" si="15">IFERROR(VLOOKUP($F55,distrito635,8,0),"-")</f>
        <v>3.2107231920199499</v>
      </c>
      <c r="N55" s="25">
        <f t="shared" ref="N55:N75" si="16">IFERROR(VLOOKUP($F55,distrito635,9,0),"-")</f>
        <v>3</v>
      </c>
      <c r="O55" s="30">
        <f t="shared" ref="O55:O75" si="17">IFERROR(VLOOKUP($F55,distrito635,10,0),"-")</f>
        <v>9.3516209476309231E-2</v>
      </c>
    </row>
    <row r="56" spans="2:15" ht="15" customHeight="1" x14ac:dyDescent="0.25">
      <c r="B56" s="5" t="s">
        <v>122</v>
      </c>
      <c r="C56" s="7" t="s">
        <v>123</v>
      </c>
      <c r="D56" s="7" t="s">
        <v>126</v>
      </c>
      <c r="E56" s="7" t="s">
        <v>127</v>
      </c>
      <c r="F56" s="44">
        <v>10402</v>
      </c>
      <c r="G56" s="17">
        <f t="shared" si="9"/>
        <v>1416</v>
      </c>
      <c r="H56" s="25">
        <f t="shared" si="10"/>
        <v>184</v>
      </c>
      <c r="I56" s="21">
        <f t="shared" si="11"/>
        <v>12.994350282485875</v>
      </c>
      <c r="J56" s="37">
        <f t="shared" si="12"/>
        <v>142</v>
      </c>
      <c r="K56" s="25">
        <f t="shared" si="13"/>
        <v>10.028248587570623</v>
      </c>
      <c r="L56" s="21">
        <f t="shared" si="14"/>
        <v>42</v>
      </c>
      <c r="M56" s="17">
        <f t="shared" si="15"/>
        <v>2.9661016949152543</v>
      </c>
      <c r="N56" s="25">
        <f t="shared" si="16"/>
        <v>0</v>
      </c>
      <c r="O56" s="30">
        <f t="shared" si="17"/>
        <v>0</v>
      </c>
    </row>
    <row r="57" spans="2:15" ht="15" customHeight="1" x14ac:dyDescent="0.25">
      <c r="B57" s="5" t="s">
        <v>122</v>
      </c>
      <c r="C57" s="7" t="s">
        <v>123</v>
      </c>
      <c r="D57" s="7" t="s">
        <v>126</v>
      </c>
      <c r="E57" s="7" t="s">
        <v>128</v>
      </c>
      <c r="F57" s="44">
        <v>10403</v>
      </c>
      <c r="G57" s="17">
        <f t="shared" si="9"/>
        <v>1824</v>
      </c>
      <c r="H57" s="25">
        <f t="shared" si="10"/>
        <v>291</v>
      </c>
      <c r="I57" s="21">
        <f t="shared" si="11"/>
        <v>15.953947368421053</v>
      </c>
      <c r="J57" s="37">
        <f t="shared" si="12"/>
        <v>217</v>
      </c>
      <c r="K57" s="25">
        <f t="shared" si="13"/>
        <v>11.896929824561402</v>
      </c>
      <c r="L57" s="21">
        <f t="shared" si="14"/>
        <v>73</v>
      </c>
      <c r="M57" s="17">
        <f t="shared" si="15"/>
        <v>4.0021929824561404</v>
      </c>
      <c r="N57" s="25">
        <f t="shared" si="16"/>
        <v>1</v>
      </c>
      <c r="O57" s="30">
        <f t="shared" si="17"/>
        <v>5.4824561403508769E-2</v>
      </c>
    </row>
    <row r="58" spans="2:15" ht="15" customHeight="1" x14ac:dyDescent="0.25">
      <c r="B58" s="5" t="s">
        <v>122</v>
      </c>
      <c r="C58" s="7" t="s">
        <v>129</v>
      </c>
      <c r="D58" s="7" t="s">
        <v>130</v>
      </c>
      <c r="E58" s="7" t="s">
        <v>131</v>
      </c>
      <c r="F58" s="44">
        <v>160704</v>
      </c>
      <c r="G58" s="17">
        <f t="shared" si="9"/>
        <v>657</v>
      </c>
      <c r="H58" s="25">
        <f t="shared" si="10"/>
        <v>117</v>
      </c>
      <c r="I58" s="21">
        <f t="shared" si="11"/>
        <v>17.80821917808219</v>
      </c>
      <c r="J58" s="37">
        <f t="shared" si="12"/>
        <v>95</v>
      </c>
      <c r="K58" s="25">
        <f t="shared" si="13"/>
        <v>14.45966514459665</v>
      </c>
      <c r="L58" s="21">
        <f t="shared" si="14"/>
        <v>22</v>
      </c>
      <c r="M58" s="17">
        <f t="shared" si="15"/>
        <v>3.3485540334855401</v>
      </c>
      <c r="N58" s="25">
        <f t="shared" si="16"/>
        <v>0</v>
      </c>
      <c r="O58" s="30">
        <f t="shared" si="17"/>
        <v>0</v>
      </c>
    </row>
    <row r="59" spans="2:15" ht="15" customHeight="1" x14ac:dyDescent="0.25">
      <c r="B59" s="5" t="s">
        <v>122</v>
      </c>
      <c r="C59" s="7" t="s">
        <v>129</v>
      </c>
      <c r="D59" s="7" t="s">
        <v>130</v>
      </c>
      <c r="E59" s="7" t="s">
        <v>132</v>
      </c>
      <c r="F59" s="44">
        <v>160706</v>
      </c>
      <c r="G59" s="17">
        <f t="shared" si="9"/>
        <v>663</v>
      </c>
      <c r="H59" s="25">
        <f t="shared" si="10"/>
        <v>215</v>
      </c>
      <c r="I59" s="21">
        <f t="shared" si="11"/>
        <v>32.428355957767721</v>
      </c>
      <c r="J59" s="37">
        <f t="shared" si="12"/>
        <v>164</v>
      </c>
      <c r="K59" s="25">
        <f t="shared" si="13"/>
        <v>24.736048265460031</v>
      </c>
      <c r="L59" s="21">
        <f t="shared" si="14"/>
        <v>48</v>
      </c>
      <c r="M59" s="17">
        <f t="shared" si="15"/>
        <v>7.2398190045248878</v>
      </c>
      <c r="N59" s="25">
        <f t="shared" si="16"/>
        <v>3</v>
      </c>
      <c r="O59" s="30">
        <f t="shared" si="17"/>
        <v>0.45248868778280549</v>
      </c>
    </row>
    <row r="60" spans="2:15" ht="15" customHeight="1" x14ac:dyDescent="0.25">
      <c r="B60" s="5" t="s">
        <v>122</v>
      </c>
      <c r="C60" s="7" t="s">
        <v>129</v>
      </c>
      <c r="D60" s="7" t="s">
        <v>133</v>
      </c>
      <c r="E60" s="7" t="s">
        <v>134</v>
      </c>
      <c r="F60" s="44">
        <v>160107</v>
      </c>
      <c r="G60" s="17">
        <f t="shared" si="9"/>
        <v>719</v>
      </c>
      <c r="H60" s="25">
        <f t="shared" si="10"/>
        <v>121</v>
      </c>
      <c r="I60" s="21">
        <f t="shared" si="11"/>
        <v>16.82892906815021</v>
      </c>
      <c r="J60" s="37">
        <f t="shared" si="12"/>
        <v>92</v>
      </c>
      <c r="K60" s="25">
        <f t="shared" si="13"/>
        <v>12.795549374130738</v>
      </c>
      <c r="L60" s="21">
        <f t="shared" si="14"/>
        <v>27</v>
      </c>
      <c r="M60" s="17">
        <f t="shared" si="15"/>
        <v>3.7552155771905427</v>
      </c>
      <c r="N60" s="25">
        <f t="shared" si="16"/>
        <v>2</v>
      </c>
      <c r="O60" s="30">
        <f t="shared" si="17"/>
        <v>0.27816411682892905</v>
      </c>
    </row>
    <row r="61" spans="2:15" ht="15" customHeight="1" x14ac:dyDescent="0.25">
      <c r="B61" s="5" t="s">
        <v>122</v>
      </c>
      <c r="C61" s="7" t="s">
        <v>129</v>
      </c>
      <c r="D61" s="7" t="s">
        <v>133</v>
      </c>
      <c r="E61" s="7" t="s">
        <v>135</v>
      </c>
      <c r="F61" s="44">
        <v>160110</v>
      </c>
      <c r="G61" s="17">
        <f t="shared" si="9"/>
        <v>454</v>
      </c>
      <c r="H61" s="25">
        <f t="shared" si="10"/>
        <v>38</v>
      </c>
      <c r="I61" s="21">
        <f t="shared" si="11"/>
        <v>8.3700440528634363</v>
      </c>
      <c r="J61" s="37">
        <f t="shared" si="12"/>
        <v>34</v>
      </c>
      <c r="K61" s="25">
        <f t="shared" si="13"/>
        <v>7.4889867841409687</v>
      </c>
      <c r="L61" s="21">
        <f t="shared" si="14"/>
        <v>4</v>
      </c>
      <c r="M61" s="17">
        <f t="shared" si="15"/>
        <v>0.88105726872246704</v>
      </c>
      <c r="N61" s="25">
        <f t="shared" si="16"/>
        <v>0</v>
      </c>
      <c r="O61" s="30">
        <f t="shared" si="17"/>
        <v>0</v>
      </c>
    </row>
    <row r="62" spans="2:15" ht="15" customHeight="1" x14ac:dyDescent="0.25">
      <c r="B62" s="5" t="s">
        <v>122</v>
      </c>
      <c r="C62" s="7" t="s">
        <v>129</v>
      </c>
      <c r="D62" s="7" t="s">
        <v>129</v>
      </c>
      <c r="E62" s="7" t="s">
        <v>136</v>
      </c>
      <c r="F62" s="44">
        <v>160303</v>
      </c>
      <c r="G62" s="17">
        <f t="shared" si="9"/>
        <v>366</v>
      </c>
      <c r="H62" s="25">
        <f t="shared" si="10"/>
        <v>78</v>
      </c>
      <c r="I62" s="21">
        <f t="shared" si="11"/>
        <v>21.311475409836063</v>
      </c>
      <c r="J62" s="37">
        <f t="shared" si="12"/>
        <v>52</v>
      </c>
      <c r="K62" s="25">
        <f t="shared" si="13"/>
        <v>14.207650273224044</v>
      </c>
      <c r="L62" s="21">
        <f t="shared" si="14"/>
        <v>25</v>
      </c>
      <c r="M62" s="17">
        <f t="shared" si="15"/>
        <v>6.8306010928961758</v>
      </c>
      <c r="N62" s="25">
        <f t="shared" si="16"/>
        <v>1</v>
      </c>
      <c r="O62" s="30">
        <f t="shared" si="17"/>
        <v>0.27322404371584702</v>
      </c>
    </row>
    <row r="63" spans="2:15" ht="15" customHeight="1" x14ac:dyDescent="0.25">
      <c r="B63" s="5" t="s">
        <v>122</v>
      </c>
      <c r="C63" s="7" t="s">
        <v>129</v>
      </c>
      <c r="D63" s="7" t="s">
        <v>129</v>
      </c>
      <c r="E63" s="7" t="s">
        <v>137</v>
      </c>
      <c r="F63" s="44">
        <v>160304</v>
      </c>
      <c r="G63" s="17">
        <f t="shared" si="9"/>
        <v>355</v>
      </c>
      <c r="H63" s="25">
        <f t="shared" si="10"/>
        <v>112</v>
      </c>
      <c r="I63" s="21">
        <f t="shared" si="11"/>
        <v>31.549295774647888</v>
      </c>
      <c r="J63" s="37">
        <f t="shared" si="12"/>
        <v>65</v>
      </c>
      <c r="K63" s="25">
        <f t="shared" si="13"/>
        <v>18.30985915492958</v>
      </c>
      <c r="L63" s="21">
        <f t="shared" si="14"/>
        <v>46</v>
      </c>
      <c r="M63" s="17">
        <f t="shared" si="15"/>
        <v>12.957746478873238</v>
      </c>
      <c r="N63" s="25">
        <f t="shared" si="16"/>
        <v>1</v>
      </c>
      <c r="O63" s="30">
        <f t="shared" si="17"/>
        <v>0.28169014084507044</v>
      </c>
    </row>
    <row r="64" spans="2:15" ht="15" customHeight="1" x14ac:dyDescent="0.25">
      <c r="B64" s="5" t="s">
        <v>122</v>
      </c>
      <c r="C64" s="7" t="s">
        <v>129</v>
      </c>
      <c r="D64" s="7" t="s">
        <v>138</v>
      </c>
      <c r="E64" s="7" t="s">
        <v>139</v>
      </c>
      <c r="F64" s="44">
        <v>160401</v>
      </c>
      <c r="G64" s="17">
        <f t="shared" si="9"/>
        <v>829</v>
      </c>
      <c r="H64" s="25">
        <f t="shared" si="10"/>
        <v>164</v>
      </c>
      <c r="I64" s="21">
        <f t="shared" si="11"/>
        <v>19.782870928829915</v>
      </c>
      <c r="J64" s="37">
        <f t="shared" si="12"/>
        <v>121</v>
      </c>
      <c r="K64" s="25">
        <f t="shared" si="13"/>
        <v>14.595898673100121</v>
      </c>
      <c r="L64" s="21">
        <f t="shared" si="14"/>
        <v>43</v>
      </c>
      <c r="M64" s="17">
        <f t="shared" si="15"/>
        <v>5.1869722557297955</v>
      </c>
      <c r="N64" s="25">
        <f t="shared" si="16"/>
        <v>0</v>
      </c>
      <c r="O64" s="30">
        <f t="shared" si="17"/>
        <v>0</v>
      </c>
    </row>
    <row r="65" spans="2:15" ht="15" customHeight="1" x14ac:dyDescent="0.25">
      <c r="B65" s="5" t="s">
        <v>122</v>
      </c>
      <c r="C65" s="7" t="s">
        <v>129</v>
      </c>
      <c r="D65" s="7" t="s">
        <v>138</v>
      </c>
      <c r="E65" s="7" t="s">
        <v>140</v>
      </c>
      <c r="F65" s="44">
        <v>160403</v>
      </c>
      <c r="G65" s="17">
        <f t="shared" si="9"/>
        <v>444</v>
      </c>
      <c r="H65" s="25">
        <f t="shared" si="10"/>
        <v>111</v>
      </c>
      <c r="I65" s="21">
        <f t="shared" si="11"/>
        <v>25</v>
      </c>
      <c r="J65" s="37">
        <f t="shared" si="12"/>
        <v>79</v>
      </c>
      <c r="K65" s="25">
        <f t="shared" si="13"/>
        <v>17.792792792792792</v>
      </c>
      <c r="L65" s="21">
        <f t="shared" si="14"/>
        <v>32</v>
      </c>
      <c r="M65" s="17">
        <f t="shared" si="15"/>
        <v>7.2072072072072073</v>
      </c>
      <c r="N65" s="25">
        <f t="shared" si="16"/>
        <v>0</v>
      </c>
      <c r="O65" s="30">
        <f t="shared" si="17"/>
        <v>0</v>
      </c>
    </row>
    <row r="66" spans="2:15" ht="15" customHeight="1" x14ac:dyDescent="0.25">
      <c r="B66" s="5" t="s">
        <v>122</v>
      </c>
      <c r="C66" s="7" t="s">
        <v>129</v>
      </c>
      <c r="D66" s="7" t="s">
        <v>141</v>
      </c>
      <c r="E66" s="7" t="s">
        <v>142</v>
      </c>
      <c r="F66" s="44">
        <v>160511</v>
      </c>
      <c r="G66" s="17">
        <f t="shared" si="9"/>
        <v>127</v>
      </c>
      <c r="H66" s="25">
        <f t="shared" si="10"/>
        <v>31</v>
      </c>
      <c r="I66" s="21">
        <f t="shared" si="11"/>
        <v>24.409448818897637</v>
      </c>
      <c r="J66" s="37">
        <f t="shared" si="12"/>
        <v>23</v>
      </c>
      <c r="K66" s="25">
        <f t="shared" si="13"/>
        <v>18.110236220472441</v>
      </c>
      <c r="L66" s="21">
        <f t="shared" si="14"/>
        <v>8</v>
      </c>
      <c r="M66" s="17">
        <f t="shared" si="15"/>
        <v>6.2992125984251963</v>
      </c>
      <c r="N66" s="25">
        <f t="shared" si="16"/>
        <v>0</v>
      </c>
      <c r="O66" s="30">
        <f t="shared" si="17"/>
        <v>0</v>
      </c>
    </row>
    <row r="67" spans="2:15" ht="15" customHeight="1" x14ac:dyDescent="0.25">
      <c r="B67" s="5" t="s">
        <v>122</v>
      </c>
      <c r="C67" s="7" t="s">
        <v>129</v>
      </c>
      <c r="D67" s="7" t="s">
        <v>143</v>
      </c>
      <c r="E67" s="7" t="s">
        <v>143</v>
      </c>
      <c r="F67" s="44">
        <v>160801</v>
      </c>
      <c r="G67" s="17">
        <f t="shared" si="9"/>
        <v>173</v>
      </c>
      <c r="H67" s="25">
        <f t="shared" si="10"/>
        <v>21</v>
      </c>
      <c r="I67" s="21">
        <f t="shared" si="11"/>
        <v>12.138728323699421</v>
      </c>
      <c r="J67" s="37">
        <f t="shared" si="12"/>
        <v>20</v>
      </c>
      <c r="K67" s="25">
        <f t="shared" si="13"/>
        <v>11.560693641618498</v>
      </c>
      <c r="L67" s="21">
        <f t="shared" si="14"/>
        <v>1</v>
      </c>
      <c r="M67" s="17">
        <f t="shared" si="15"/>
        <v>0.57803468208092479</v>
      </c>
      <c r="N67" s="25">
        <f t="shared" si="16"/>
        <v>0</v>
      </c>
      <c r="O67" s="30">
        <f t="shared" si="17"/>
        <v>0</v>
      </c>
    </row>
    <row r="68" spans="2:15" ht="15" customHeight="1" x14ac:dyDescent="0.25">
      <c r="B68" s="5" t="s">
        <v>122</v>
      </c>
      <c r="C68" s="7" t="s">
        <v>129</v>
      </c>
      <c r="D68" s="7" t="s">
        <v>143</v>
      </c>
      <c r="E68" s="7" t="s">
        <v>144</v>
      </c>
      <c r="F68" s="44">
        <v>160802</v>
      </c>
      <c r="G68" s="17">
        <f t="shared" si="9"/>
        <v>14</v>
      </c>
      <c r="H68" s="25">
        <f t="shared" si="10"/>
        <v>7</v>
      </c>
      <c r="I68" s="21">
        <f t="shared" si="11"/>
        <v>50</v>
      </c>
      <c r="J68" s="37">
        <f t="shared" si="12"/>
        <v>7</v>
      </c>
      <c r="K68" s="25">
        <f t="shared" si="13"/>
        <v>50</v>
      </c>
      <c r="L68" s="21">
        <f t="shared" si="14"/>
        <v>0</v>
      </c>
      <c r="M68" s="17">
        <f t="shared" si="15"/>
        <v>0</v>
      </c>
      <c r="N68" s="25">
        <f t="shared" si="16"/>
        <v>0</v>
      </c>
      <c r="O68" s="30">
        <f t="shared" si="17"/>
        <v>0</v>
      </c>
    </row>
    <row r="69" spans="2:15" ht="15" customHeight="1" x14ac:dyDescent="0.25">
      <c r="B69" s="5" t="s">
        <v>122</v>
      </c>
      <c r="C69" s="7" t="s">
        <v>129</v>
      </c>
      <c r="D69" s="7" t="s">
        <v>143</v>
      </c>
      <c r="E69" s="7" t="s">
        <v>145</v>
      </c>
      <c r="F69" s="44">
        <v>160803</v>
      </c>
      <c r="G69" s="17">
        <f t="shared" si="9"/>
        <v>135</v>
      </c>
      <c r="H69" s="25">
        <f t="shared" si="10"/>
        <v>48</v>
      </c>
      <c r="I69" s="21">
        <f t="shared" si="11"/>
        <v>35.555555555555557</v>
      </c>
      <c r="J69" s="37">
        <f t="shared" si="12"/>
        <v>23</v>
      </c>
      <c r="K69" s="25">
        <f t="shared" si="13"/>
        <v>17.037037037037038</v>
      </c>
      <c r="L69" s="21">
        <f t="shared" si="14"/>
        <v>25</v>
      </c>
      <c r="M69" s="17">
        <f t="shared" si="15"/>
        <v>18.518518518518519</v>
      </c>
      <c r="N69" s="25">
        <f t="shared" si="16"/>
        <v>0</v>
      </c>
      <c r="O69" s="30">
        <f t="shared" si="17"/>
        <v>0</v>
      </c>
    </row>
    <row r="70" spans="2:15" ht="15" customHeight="1" x14ac:dyDescent="0.25">
      <c r="B70" s="5" t="s">
        <v>122</v>
      </c>
      <c r="C70" s="7" t="s">
        <v>129</v>
      </c>
      <c r="D70" s="7" t="s">
        <v>143</v>
      </c>
      <c r="E70" s="7" t="s">
        <v>146</v>
      </c>
      <c r="F70" s="44">
        <v>160804</v>
      </c>
      <c r="G70" s="17">
        <f t="shared" si="9"/>
        <v>65</v>
      </c>
      <c r="H70" s="25">
        <f t="shared" si="10"/>
        <v>6</v>
      </c>
      <c r="I70" s="21">
        <f t="shared" si="11"/>
        <v>9.2307692307692317</v>
      </c>
      <c r="J70" s="37">
        <f t="shared" si="12"/>
        <v>4</v>
      </c>
      <c r="K70" s="25">
        <f t="shared" si="13"/>
        <v>6.1538461538461542</v>
      </c>
      <c r="L70" s="21">
        <f t="shared" si="14"/>
        <v>2</v>
      </c>
      <c r="M70" s="17">
        <f t="shared" si="15"/>
        <v>3.0769230769230771</v>
      </c>
      <c r="N70" s="25">
        <f t="shared" si="16"/>
        <v>0</v>
      </c>
      <c r="O70" s="30">
        <f t="shared" si="17"/>
        <v>0</v>
      </c>
    </row>
    <row r="71" spans="2:15" ht="15" customHeight="1" x14ac:dyDescent="0.25">
      <c r="B71" s="5" t="s">
        <v>122</v>
      </c>
      <c r="C71" s="7" t="s">
        <v>129</v>
      </c>
      <c r="D71" s="7" t="s">
        <v>141</v>
      </c>
      <c r="E71" s="7" t="s">
        <v>147</v>
      </c>
      <c r="F71" s="44">
        <v>160502</v>
      </c>
      <c r="G71" s="17" t="str">
        <f t="shared" si="9"/>
        <v>-</v>
      </c>
      <c r="H71" s="25" t="str">
        <f t="shared" si="10"/>
        <v>-</v>
      </c>
      <c r="I71" s="21" t="str">
        <f t="shared" si="11"/>
        <v>-</v>
      </c>
      <c r="J71" s="37" t="str">
        <f t="shared" si="12"/>
        <v>-</v>
      </c>
      <c r="K71" s="25" t="str">
        <f t="shared" si="13"/>
        <v>-</v>
      </c>
      <c r="L71" s="21" t="str">
        <f t="shared" si="14"/>
        <v>-</v>
      </c>
      <c r="M71" s="17" t="str">
        <f t="shared" si="15"/>
        <v>-</v>
      </c>
      <c r="N71" s="25" t="str">
        <f t="shared" si="16"/>
        <v>-</v>
      </c>
      <c r="O71" s="30" t="str">
        <f t="shared" si="17"/>
        <v>-</v>
      </c>
    </row>
    <row r="72" spans="2:15" ht="15" customHeight="1" x14ac:dyDescent="0.25">
      <c r="B72" s="5" t="s">
        <v>122</v>
      </c>
      <c r="C72" s="7" t="s">
        <v>148</v>
      </c>
      <c r="D72" s="7" t="s">
        <v>149</v>
      </c>
      <c r="E72" s="7" t="s">
        <v>150</v>
      </c>
      <c r="F72" s="44">
        <v>250101</v>
      </c>
      <c r="G72" s="17">
        <f t="shared" si="9"/>
        <v>5192</v>
      </c>
      <c r="H72" s="25">
        <f t="shared" si="10"/>
        <v>959</v>
      </c>
      <c r="I72" s="21">
        <f t="shared" si="11"/>
        <v>18.470724191063173</v>
      </c>
      <c r="J72" s="37">
        <f t="shared" si="12"/>
        <v>735</v>
      </c>
      <c r="K72" s="25">
        <f t="shared" si="13"/>
        <v>14.156394453004623</v>
      </c>
      <c r="L72" s="21">
        <f t="shared" si="14"/>
        <v>222</v>
      </c>
      <c r="M72" s="17">
        <f t="shared" si="15"/>
        <v>4.2758089368258858</v>
      </c>
      <c r="N72" s="25">
        <f t="shared" si="16"/>
        <v>2</v>
      </c>
      <c r="O72" s="30">
        <f t="shared" si="17"/>
        <v>3.8520801232665637E-2</v>
      </c>
    </row>
    <row r="73" spans="2:15" ht="15" customHeight="1" x14ac:dyDescent="0.25">
      <c r="B73" s="5" t="s">
        <v>122</v>
      </c>
      <c r="C73" s="7" t="s">
        <v>148</v>
      </c>
      <c r="D73" s="7" t="s">
        <v>149</v>
      </c>
      <c r="E73" s="7" t="s">
        <v>151</v>
      </c>
      <c r="F73" s="44">
        <v>250104</v>
      </c>
      <c r="G73" s="17">
        <f t="shared" si="9"/>
        <v>751</v>
      </c>
      <c r="H73" s="25">
        <f t="shared" si="10"/>
        <v>194</v>
      </c>
      <c r="I73" s="21">
        <f t="shared" si="11"/>
        <v>25.832223701731028</v>
      </c>
      <c r="J73" s="37">
        <f t="shared" si="12"/>
        <v>140</v>
      </c>
      <c r="K73" s="25">
        <f t="shared" si="13"/>
        <v>18.641810918774969</v>
      </c>
      <c r="L73" s="21">
        <f t="shared" si="14"/>
        <v>54</v>
      </c>
      <c r="M73" s="17">
        <f t="shared" si="15"/>
        <v>7.1904127829560585</v>
      </c>
      <c r="N73" s="25">
        <f t="shared" si="16"/>
        <v>0</v>
      </c>
      <c r="O73" s="30">
        <f t="shared" si="17"/>
        <v>0</v>
      </c>
    </row>
    <row r="74" spans="2:15" ht="15" customHeight="1" x14ac:dyDescent="0.25">
      <c r="B74" s="5" t="s">
        <v>122</v>
      </c>
      <c r="C74" s="7" t="s">
        <v>148</v>
      </c>
      <c r="D74" s="7" t="s">
        <v>152</v>
      </c>
      <c r="E74" s="7" t="s">
        <v>153</v>
      </c>
      <c r="F74" s="44">
        <v>250204</v>
      </c>
      <c r="G74" s="17">
        <f t="shared" si="9"/>
        <v>174</v>
      </c>
      <c r="H74" s="25">
        <f t="shared" si="10"/>
        <v>66</v>
      </c>
      <c r="I74" s="21">
        <f t="shared" si="11"/>
        <v>37.931034482758619</v>
      </c>
      <c r="J74" s="37">
        <f t="shared" si="12"/>
        <v>44</v>
      </c>
      <c r="K74" s="25">
        <f t="shared" si="13"/>
        <v>25.287356321839084</v>
      </c>
      <c r="L74" s="21">
        <f t="shared" si="14"/>
        <v>21</v>
      </c>
      <c r="M74" s="17">
        <f t="shared" si="15"/>
        <v>12.068965517241379</v>
      </c>
      <c r="N74" s="25">
        <f t="shared" si="16"/>
        <v>1</v>
      </c>
      <c r="O74" s="30">
        <f t="shared" si="17"/>
        <v>0.57471264367816088</v>
      </c>
    </row>
    <row r="75" spans="2:15" ht="15" customHeight="1" thickBot="1" x14ac:dyDescent="0.3">
      <c r="B75" s="5" t="s">
        <v>122</v>
      </c>
      <c r="C75" s="7" t="s">
        <v>148</v>
      </c>
      <c r="D75" s="7" t="s">
        <v>154</v>
      </c>
      <c r="E75" s="7" t="s">
        <v>154</v>
      </c>
      <c r="F75" s="44">
        <v>250401</v>
      </c>
      <c r="G75" s="17">
        <f t="shared" si="9"/>
        <v>145</v>
      </c>
      <c r="H75" s="25">
        <f t="shared" si="10"/>
        <v>44</v>
      </c>
      <c r="I75" s="21">
        <f t="shared" si="11"/>
        <v>30.344827586206897</v>
      </c>
      <c r="J75" s="37">
        <f t="shared" si="12"/>
        <v>28</v>
      </c>
      <c r="K75" s="25">
        <f t="shared" si="13"/>
        <v>19.310344827586206</v>
      </c>
      <c r="L75" s="21">
        <f t="shared" si="14"/>
        <v>16</v>
      </c>
      <c r="M75" s="17">
        <f t="shared" si="15"/>
        <v>11.03448275862069</v>
      </c>
      <c r="N75" s="25">
        <f t="shared" si="16"/>
        <v>0</v>
      </c>
      <c r="O75" s="30">
        <f t="shared" si="17"/>
        <v>0</v>
      </c>
    </row>
    <row r="76" spans="2:15" ht="15" customHeight="1" thickBot="1" x14ac:dyDescent="0.3">
      <c r="B76" s="81"/>
      <c r="C76" s="71"/>
      <c r="D76" s="71" t="str">
        <f>UPPER(_xlfn.CONCAT("Total ",B75))</f>
        <v>TOTAL ZONA AMAZÓNICA FLUVIAL</v>
      </c>
      <c r="E76" s="71"/>
      <c r="F76" s="82"/>
      <c r="G76" s="19">
        <f>SUM(G55:G75)</f>
        <v>17711</v>
      </c>
      <c r="H76" s="27">
        <f>SUM(H55:H75)</f>
        <v>3263</v>
      </c>
      <c r="I76" s="23">
        <f>H76/G76*100</f>
        <v>18.423578566992266</v>
      </c>
      <c r="J76" s="39">
        <f>SUM(J55:J75)</f>
        <v>2435</v>
      </c>
      <c r="K76" s="27">
        <f>SUM(K55:K75)</f>
        <v>337.47957288758869</v>
      </c>
      <c r="L76" s="23">
        <f>SUM(L55:L75)</f>
        <v>814</v>
      </c>
      <c r="M76" s="19">
        <f>SUM(M55:M75)</f>
        <v>120.62854965961293</v>
      </c>
      <c r="N76" s="27">
        <f>SUM(N55:N75)</f>
        <v>14</v>
      </c>
      <c r="O76" s="34">
        <f>N76/M76*100</f>
        <v>11.605876087795885</v>
      </c>
    </row>
    <row r="77" spans="2:15" ht="15" customHeight="1" x14ac:dyDescent="0.25">
      <c r="B77" s="5" t="s">
        <v>47</v>
      </c>
      <c r="C77" s="7" t="s">
        <v>155</v>
      </c>
      <c r="D77" s="7" t="s">
        <v>156</v>
      </c>
      <c r="E77" s="7" t="s">
        <v>157</v>
      </c>
      <c r="F77" s="44">
        <v>60903</v>
      </c>
      <c r="G77" s="17">
        <f t="shared" ref="G77:G91" si="18">IFERROR(VLOOKUP($F77,distrito635,2,0),"-")</f>
        <v>700</v>
      </c>
      <c r="H77" s="25">
        <f t="shared" ref="H77:H91" si="19">IFERROR(VLOOKUP($F77,distrito635,3,0),"-")</f>
        <v>100</v>
      </c>
      <c r="I77" s="21">
        <f t="shared" ref="I77:I91" si="20">IFERROR(VLOOKUP($F77,distrito635,4,0),"-")</f>
        <v>14.285714285714285</v>
      </c>
      <c r="J77" s="37">
        <f t="shared" ref="J77:J91" si="21">IFERROR(VLOOKUP($F77,distrito635,5,0),"-")</f>
        <v>87</v>
      </c>
      <c r="K77" s="25">
        <f t="shared" ref="K77:K91" si="22">IFERROR(VLOOKUP($F77,distrito635,6,0),"-")</f>
        <v>12.428571428571429</v>
      </c>
      <c r="L77" s="21">
        <f t="shared" ref="L77:L91" si="23">IFERROR(VLOOKUP($F77,distrito635,7,0),"-")</f>
        <v>12</v>
      </c>
      <c r="M77" s="17">
        <f t="shared" ref="M77:M91" si="24">IFERROR(VLOOKUP($F77,distrito635,8,0),"-")</f>
        <v>1.7142857142857144</v>
      </c>
      <c r="N77" s="25">
        <f t="shared" ref="N77:N91" si="25">IFERROR(VLOOKUP($F77,distrito635,9,0),"-")</f>
        <v>1</v>
      </c>
      <c r="O77" s="30">
        <f t="shared" ref="O77:O91" si="26">IFERROR(VLOOKUP($F77,distrito635,10,0),"-")</f>
        <v>0.14285714285714285</v>
      </c>
    </row>
    <row r="78" spans="2:15" ht="15" customHeight="1" x14ac:dyDescent="0.25">
      <c r="B78" s="5" t="s">
        <v>47</v>
      </c>
      <c r="C78" s="7" t="s">
        <v>155</v>
      </c>
      <c r="D78" s="7" t="s">
        <v>156</v>
      </c>
      <c r="E78" s="7" t="s">
        <v>158</v>
      </c>
      <c r="F78" s="44">
        <v>60906</v>
      </c>
      <c r="G78" s="17">
        <f t="shared" si="18"/>
        <v>737</v>
      </c>
      <c r="H78" s="25">
        <f t="shared" si="19"/>
        <v>101</v>
      </c>
      <c r="I78" s="21">
        <f t="shared" si="20"/>
        <v>13.704206241519673</v>
      </c>
      <c r="J78" s="37">
        <f t="shared" si="21"/>
        <v>90</v>
      </c>
      <c r="K78" s="25">
        <f t="shared" si="22"/>
        <v>12.211668928086839</v>
      </c>
      <c r="L78" s="21">
        <f t="shared" si="23"/>
        <v>11</v>
      </c>
      <c r="M78" s="17">
        <f t="shared" si="24"/>
        <v>1.4925373134328357</v>
      </c>
      <c r="N78" s="25">
        <f t="shared" si="25"/>
        <v>0</v>
      </c>
      <c r="O78" s="30">
        <f t="shared" si="26"/>
        <v>0</v>
      </c>
    </row>
    <row r="79" spans="2:15" ht="15" customHeight="1" x14ac:dyDescent="0.25">
      <c r="B79" s="5" t="s">
        <v>47</v>
      </c>
      <c r="C79" s="7" t="s">
        <v>155</v>
      </c>
      <c r="D79" s="7" t="s">
        <v>156</v>
      </c>
      <c r="E79" s="7" t="s">
        <v>156</v>
      </c>
      <c r="F79" s="44">
        <v>60901</v>
      </c>
      <c r="G79" s="17">
        <f t="shared" si="18"/>
        <v>1337</v>
      </c>
      <c r="H79" s="25">
        <f t="shared" si="19"/>
        <v>252</v>
      </c>
      <c r="I79" s="21">
        <f t="shared" si="20"/>
        <v>18.848167539267017</v>
      </c>
      <c r="J79" s="37">
        <f t="shared" si="21"/>
        <v>202</v>
      </c>
      <c r="K79" s="25">
        <f t="shared" si="22"/>
        <v>15.108451757666415</v>
      </c>
      <c r="L79" s="21">
        <f t="shared" si="23"/>
        <v>50</v>
      </c>
      <c r="M79" s="17">
        <f t="shared" si="24"/>
        <v>3.7397157816005984</v>
      </c>
      <c r="N79" s="25">
        <f t="shared" si="25"/>
        <v>0</v>
      </c>
      <c r="O79" s="30">
        <f t="shared" si="26"/>
        <v>0</v>
      </c>
    </row>
    <row r="80" spans="2:15" ht="15" customHeight="1" x14ac:dyDescent="0.25">
      <c r="B80" s="5" t="s">
        <v>47</v>
      </c>
      <c r="C80" s="7" t="s">
        <v>155</v>
      </c>
      <c r="D80" s="7" t="s">
        <v>156</v>
      </c>
      <c r="E80" s="7" t="s">
        <v>159</v>
      </c>
      <c r="F80" s="44">
        <v>60905</v>
      </c>
      <c r="G80" s="17">
        <f t="shared" si="18"/>
        <v>422</v>
      </c>
      <c r="H80" s="25">
        <f t="shared" si="19"/>
        <v>41</v>
      </c>
      <c r="I80" s="21">
        <f t="shared" si="20"/>
        <v>9.7156398104265413</v>
      </c>
      <c r="J80" s="37">
        <f t="shared" si="21"/>
        <v>34</v>
      </c>
      <c r="K80" s="25">
        <f t="shared" si="22"/>
        <v>8.0568720379146921</v>
      </c>
      <c r="L80" s="21">
        <f t="shared" si="23"/>
        <v>6</v>
      </c>
      <c r="M80" s="17">
        <f t="shared" si="24"/>
        <v>1.4218009478672986</v>
      </c>
      <c r="N80" s="25">
        <f t="shared" si="25"/>
        <v>1</v>
      </c>
      <c r="O80" s="30">
        <f t="shared" si="26"/>
        <v>0.23696682464454977</v>
      </c>
    </row>
    <row r="81" spans="2:15" ht="15" customHeight="1" x14ac:dyDescent="0.25">
      <c r="B81" s="5" t="s">
        <v>47</v>
      </c>
      <c r="C81" s="7" t="s">
        <v>160</v>
      </c>
      <c r="D81" s="7" t="s">
        <v>161</v>
      </c>
      <c r="E81" s="7" t="s">
        <v>161</v>
      </c>
      <c r="F81" s="44">
        <v>200201</v>
      </c>
      <c r="G81" s="17">
        <f t="shared" si="18"/>
        <v>1125</v>
      </c>
      <c r="H81" s="25">
        <f t="shared" si="19"/>
        <v>553</v>
      </c>
      <c r="I81" s="21">
        <f t="shared" si="20"/>
        <v>49.155555555555559</v>
      </c>
      <c r="J81" s="37">
        <f t="shared" si="21"/>
        <v>342</v>
      </c>
      <c r="K81" s="25">
        <f t="shared" si="22"/>
        <v>30.4</v>
      </c>
      <c r="L81" s="21">
        <f t="shared" si="23"/>
        <v>209</v>
      </c>
      <c r="M81" s="17">
        <f t="shared" si="24"/>
        <v>18.577777777777776</v>
      </c>
      <c r="N81" s="25">
        <f t="shared" si="25"/>
        <v>2</v>
      </c>
      <c r="O81" s="30">
        <f t="shared" si="26"/>
        <v>0.17777777777777778</v>
      </c>
    </row>
    <row r="82" spans="2:15" ht="15" customHeight="1" x14ac:dyDescent="0.25">
      <c r="B82" s="5" t="s">
        <v>47</v>
      </c>
      <c r="C82" s="7" t="s">
        <v>160</v>
      </c>
      <c r="D82" s="7" t="s">
        <v>161</v>
      </c>
      <c r="E82" s="7" t="s">
        <v>162</v>
      </c>
      <c r="F82" s="44">
        <v>200203</v>
      </c>
      <c r="G82" s="17">
        <f t="shared" si="18"/>
        <v>92</v>
      </c>
      <c r="H82" s="25">
        <f t="shared" si="19"/>
        <v>25</v>
      </c>
      <c r="I82" s="21">
        <f t="shared" si="20"/>
        <v>27.173913043478258</v>
      </c>
      <c r="J82" s="37">
        <f t="shared" si="21"/>
        <v>24</v>
      </c>
      <c r="K82" s="25">
        <f t="shared" si="22"/>
        <v>26.086956521739129</v>
      </c>
      <c r="L82" s="21">
        <f t="shared" si="23"/>
        <v>1</v>
      </c>
      <c r="M82" s="17">
        <f t="shared" si="24"/>
        <v>1.0869565217391304</v>
      </c>
      <c r="N82" s="25">
        <f t="shared" si="25"/>
        <v>0</v>
      </c>
      <c r="O82" s="30">
        <f t="shared" si="26"/>
        <v>0</v>
      </c>
    </row>
    <row r="83" spans="2:15" ht="15" customHeight="1" x14ac:dyDescent="0.25">
      <c r="B83" s="5" t="s">
        <v>47</v>
      </c>
      <c r="C83" s="7" t="s">
        <v>160</v>
      </c>
      <c r="D83" s="7" t="s">
        <v>161</v>
      </c>
      <c r="E83" s="7" t="s">
        <v>163</v>
      </c>
      <c r="F83" s="44">
        <v>200210</v>
      </c>
      <c r="G83" s="17">
        <f t="shared" si="18"/>
        <v>463</v>
      </c>
      <c r="H83" s="25">
        <f t="shared" si="19"/>
        <v>23</v>
      </c>
      <c r="I83" s="21">
        <f t="shared" si="20"/>
        <v>4.967602591792657</v>
      </c>
      <c r="J83" s="37">
        <f t="shared" si="21"/>
        <v>15</v>
      </c>
      <c r="K83" s="25">
        <f t="shared" si="22"/>
        <v>3.2397408207343417</v>
      </c>
      <c r="L83" s="21">
        <f t="shared" si="23"/>
        <v>8</v>
      </c>
      <c r="M83" s="17">
        <f t="shared" si="24"/>
        <v>1.7278617710583155</v>
      </c>
      <c r="N83" s="25">
        <f t="shared" si="25"/>
        <v>0</v>
      </c>
      <c r="O83" s="30">
        <f t="shared" si="26"/>
        <v>0</v>
      </c>
    </row>
    <row r="84" spans="2:15" ht="15" customHeight="1" x14ac:dyDescent="0.25">
      <c r="B84" s="5" t="s">
        <v>47</v>
      </c>
      <c r="C84" s="7" t="s">
        <v>160</v>
      </c>
      <c r="D84" s="7" t="s">
        <v>164</v>
      </c>
      <c r="E84" s="7" t="s">
        <v>165</v>
      </c>
      <c r="F84" s="44">
        <v>200303</v>
      </c>
      <c r="G84" s="17">
        <f t="shared" si="18"/>
        <v>416</v>
      </c>
      <c r="H84" s="25">
        <f t="shared" si="19"/>
        <v>38</v>
      </c>
      <c r="I84" s="21">
        <f t="shared" si="20"/>
        <v>9.1346153846153832</v>
      </c>
      <c r="J84" s="37">
        <f t="shared" si="21"/>
        <v>34</v>
      </c>
      <c r="K84" s="25">
        <f t="shared" si="22"/>
        <v>8.1730769230769234</v>
      </c>
      <c r="L84" s="21">
        <f t="shared" si="23"/>
        <v>4</v>
      </c>
      <c r="M84" s="17">
        <f t="shared" si="24"/>
        <v>0.96153846153846156</v>
      </c>
      <c r="N84" s="25">
        <f t="shared" si="25"/>
        <v>0</v>
      </c>
      <c r="O84" s="30">
        <f t="shared" si="26"/>
        <v>0</v>
      </c>
    </row>
    <row r="85" spans="2:15" ht="15" customHeight="1" x14ac:dyDescent="0.25">
      <c r="B85" s="5" t="s">
        <v>47</v>
      </c>
      <c r="C85" s="7" t="s">
        <v>160</v>
      </c>
      <c r="D85" s="7" t="s">
        <v>166</v>
      </c>
      <c r="E85" s="7" t="s">
        <v>167</v>
      </c>
      <c r="F85" s="44">
        <v>200604</v>
      </c>
      <c r="G85" s="17">
        <f t="shared" si="18"/>
        <v>465</v>
      </c>
      <c r="H85" s="25">
        <f t="shared" si="19"/>
        <v>12</v>
      </c>
      <c r="I85" s="21">
        <f t="shared" si="20"/>
        <v>2.5806451612903225</v>
      </c>
      <c r="J85" s="37">
        <f t="shared" si="21"/>
        <v>9</v>
      </c>
      <c r="K85" s="25">
        <f t="shared" si="22"/>
        <v>1.935483870967742</v>
      </c>
      <c r="L85" s="21">
        <f t="shared" si="23"/>
        <v>3</v>
      </c>
      <c r="M85" s="17">
        <f t="shared" si="24"/>
        <v>0.64516129032258063</v>
      </c>
      <c r="N85" s="25">
        <f t="shared" si="25"/>
        <v>0</v>
      </c>
      <c r="O85" s="30">
        <f t="shared" si="26"/>
        <v>0</v>
      </c>
    </row>
    <row r="86" spans="2:15" ht="15" customHeight="1" x14ac:dyDescent="0.25">
      <c r="B86" s="5" t="s">
        <v>47</v>
      </c>
      <c r="C86" s="7" t="s">
        <v>168</v>
      </c>
      <c r="D86" s="7" t="s">
        <v>168</v>
      </c>
      <c r="E86" s="7" t="s">
        <v>169</v>
      </c>
      <c r="F86" s="44">
        <v>240104</v>
      </c>
      <c r="G86" s="17">
        <f t="shared" si="18"/>
        <v>278</v>
      </c>
      <c r="H86" s="25">
        <f t="shared" si="19"/>
        <v>17</v>
      </c>
      <c r="I86" s="21">
        <f t="shared" si="20"/>
        <v>6.1151079136690649</v>
      </c>
      <c r="J86" s="37">
        <f t="shared" si="21"/>
        <v>14</v>
      </c>
      <c r="K86" s="25">
        <f t="shared" si="22"/>
        <v>5.0359712230215825</v>
      </c>
      <c r="L86" s="21">
        <f t="shared" si="23"/>
        <v>3</v>
      </c>
      <c r="M86" s="17">
        <f t="shared" si="24"/>
        <v>1.079136690647482</v>
      </c>
      <c r="N86" s="25">
        <f t="shared" si="25"/>
        <v>0</v>
      </c>
      <c r="O86" s="30">
        <f t="shared" si="26"/>
        <v>0</v>
      </c>
    </row>
    <row r="87" spans="2:15" ht="15" customHeight="1" x14ac:dyDescent="0.25">
      <c r="B87" s="5" t="s">
        <v>47</v>
      </c>
      <c r="C87" s="7" t="s">
        <v>168</v>
      </c>
      <c r="D87" s="7" t="s">
        <v>170</v>
      </c>
      <c r="E87" s="7" t="s">
        <v>171</v>
      </c>
      <c r="F87" s="44">
        <v>240302</v>
      </c>
      <c r="G87" s="17">
        <f t="shared" si="18"/>
        <v>733</v>
      </c>
      <c r="H87" s="25">
        <f t="shared" si="19"/>
        <v>75</v>
      </c>
      <c r="I87" s="21">
        <f t="shared" si="20"/>
        <v>10.231923601637108</v>
      </c>
      <c r="J87" s="37">
        <f t="shared" si="21"/>
        <v>63</v>
      </c>
      <c r="K87" s="25">
        <f t="shared" si="22"/>
        <v>8.5948158253751714</v>
      </c>
      <c r="L87" s="21">
        <f t="shared" si="23"/>
        <v>12</v>
      </c>
      <c r="M87" s="17">
        <f t="shared" si="24"/>
        <v>1.6371077762619373</v>
      </c>
      <c r="N87" s="25">
        <f t="shared" si="25"/>
        <v>0</v>
      </c>
      <c r="O87" s="30">
        <f t="shared" si="26"/>
        <v>0</v>
      </c>
    </row>
    <row r="88" spans="2:15" ht="15" customHeight="1" x14ac:dyDescent="0.25">
      <c r="B88" s="5" t="s">
        <v>47</v>
      </c>
      <c r="C88" s="7" t="s">
        <v>168</v>
      </c>
      <c r="D88" s="7" t="s">
        <v>168</v>
      </c>
      <c r="E88" s="7" t="s">
        <v>172</v>
      </c>
      <c r="F88" s="44">
        <v>240105</v>
      </c>
      <c r="G88" s="17">
        <f t="shared" si="18"/>
        <v>290</v>
      </c>
      <c r="H88" s="25">
        <f t="shared" si="19"/>
        <v>13</v>
      </c>
      <c r="I88" s="21">
        <f t="shared" si="20"/>
        <v>4.4827586206896548</v>
      </c>
      <c r="J88" s="37">
        <f t="shared" si="21"/>
        <v>12</v>
      </c>
      <c r="K88" s="25">
        <f t="shared" si="22"/>
        <v>4.1379310344827589</v>
      </c>
      <c r="L88" s="21">
        <f t="shared" si="23"/>
        <v>1</v>
      </c>
      <c r="M88" s="17">
        <f t="shared" si="24"/>
        <v>0.34482758620689657</v>
      </c>
      <c r="N88" s="25">
        <f t="shared" si="25"/>
        <v>0</v>
      </c>
      <c r="O88" s="30">
        <f t="shared" si="26"/>
        <v>0</v>
      </c>
    </row>
    <row r="89" spans="2:15" ht="15" customHeight="1" x14ac:dyDescent="0.25">
      <c r="B89" s="5" t="s">
        <v>47</v>
      </c>
      <c r="C89" s="7" t="s">
        <v>168</v>
      </c>
      <c r="D89" s="7" t="s">
        <v>170</v>
      </c>
      <c r="E89" s="7" t="s">
        <v>170</v>
      </c>
      <c r="F89" s="44">
        <v>240301</v>
      </c>
      <c r="G89" s="17">
        <f t="shared" si="18"/>
        <v>726</v>
      </c>
      <c r="H89" s="25">
        <f t="shared" si="19"/>
        <v>80</v>
      </c>
      <c r="I89" s="21">
        <f t="shared" si="20"/>
        <v>11.019283746556475</v>
      </c>
      <c r="J89" s="37">
        <f t="shared" si="21"/>
        <v>57</v>
      </c>
      <c r="K89" s="25">
        <f t="shared" si="22"/>
        <v>7.8512396694214877</v>
      </c>
      <c r="L89" s="21">
        <f t="shared" si="23"/>
        <v>23</v>
      </c>
      <c r="M89" s="17">
        <f t="shared" si="24"/>
        <v>3.1680440771349865</v>
      </c>
      <c r="N89" s="25">
        <f t="shared" si="25"/>
        <v>0</v>
      </c>
      <c r="O89" s="30">
        <f t="shared" si="26"/>
        <v>0</v>
      </c>
    </row>
    <row r="90" spans="2:15" ht="15" customHeight="1" x14ac:dyDescent="0.25">
      <c r="B90" s="5" t="s">
        <v>47</v>
      </c>
      <c r="C90" s="7" t="s">
        <v>168</v>
      </c>
      <c r="D90" s="7" t="s">
        <v>170</v>
      </c>
      <c r="E90" s="7" t="s">
        <v>173</v>
      </c>
      <c r="F90" s="44">
        <v>240303</v>
      </c>
      <c r="G90" s="17">
        <f t="shared" si="18"/>
        <v>200</v>
      </c>
      <c r="H90" s="25">
        <f t="shared" si="19"/>
        <v>25</v>
      </c>
      <c r="I90" s="21">
        <f t="shared" si="20"/>
        <v>12.5</v>
      </c>
      <c r="J90" s="37">
        <f t="shared" si="21"/>
        <v>18</v>
      </c>
      <c r="K90" s="25">
        <f t="shared" si="22"/>
        <v>9</v>
      </c>
      <c r="L90" s="21">
        <f t="shared" si="23"/>
        <v>7</v>
      </c>
      <c r="M90" s="17">
        <f t="shared" si="24"/>
        <v>3.5000000000000004</v>
      </c>
      <c r="N90" s="25">
        <f t="shared" si="25"/>
        <v>0</v>
      </c>
      <c r="O90" s="30">
        <f t="shared" si="26"/>
        <v>0</v>
      </c>
    </row>
    <row r="91" spans="2:15" ht="15" customHeight="1" thickBot="1" x14ac:dyDescent="0.3">
      <c r="B91" s="5" t="s">
        <v>47</v>
      </c>
      <c r="C91" s="7" t="s">
        <v>168</v>
      </c>
      <c r="D91" s="7" t="s">
        <v>170</v>
      </c>
      <c r="E91" s="7" t="s">
        <v>174</v>
      </c>
      <c r="F91" s="44">
        <v>240304</v>
      </c>
      <c r="G91" s="17">
        <f t="shared" si="18"/>
        <v>236</v>
      </c>
      <c r="H91" s="25">
        <f t="shared" si="19"/>
        <v>20</v>
      </c>
      <c r="I91" s="21">
        <f t="shared" si="20"/>
        <v>8.4745762711864394</v>
      </c>
      <c r="J91" s="37">
        <f t="shared" si="21"/>
        <v>15</v>
      </c>
      <c r="K91" s="25">
        <f t="shared" si="22"/>
        <v>6.3559322033898304</v>
      </c>
      <c r="L91" s="21">
        <f t="shared" si="23"/>
        <v>5</v>
      </c>
      <c r="M91" s="17">
        <f t="shared" si="24"/>
        <v>2.1186440677966099</v>
      </c>
      <c r="N91" s="25">
        <f t="shared" si="25"/>
        <v>0</v>
      </c>
      <c r="O91" s="30">
        <f t="shared" si="26"/>
        <v>0</v>
      </c>
    </row>
    <row r="92" spans="2:15" ht="15" customHeight="1" thickBot="1" x14ac:dyDescent="0.3">
      <c r="B92" s="81"/>
      <c r="C92" s="71"/>
      <c r="D92" s="71" t="str">
        <f>UPPER(_xlfn.CONCAT("Total ",B91))</f>
        <v>TOTAL ZONA NORTE</v>
      </c>
      <c r="E92" s="71"/>
      <c r="F92" s="82"/>
      <c r="G92" s="19">
        <f>SUM(G77:G91)</f>
        <v>8220</v>
      </c>
      <c r="H92" s="27">
        <f>SUM(H77:H91)</f>
        <v>1375</v>
      </c>
      <c r="I92" s="23">
        <f>H92/G92*100</f>
        <v>16.727493917274938</v>
      </c>
      <c r="J92" s="39">
        <f>SUM(J77:J91)</f>
        <v>1016</v>
      </c>
      <c r="K92" s="27">
        <f>SUM(K77:K91)</f>
        <v>158.61671224444834</v>
      </c>
      <c r="L92" s="23">
        <f>SUM(L77:L91)</f>
        <v>355</v>
      </c>
      <c r="M92" s="19">
        <f>SUM(M77:M91)</f>
        <v>43.215395777670615</v>
      </c>
      <c r="N92" s="27">
        <f>SUM(N77:N91)</f>
        <v>4</v>
      </c>
      <c r="O92" s="34">
        <f>N92/M92*100</f>
        <v>9.2559605853865605</v>
      </c>
    </row>
    <row r="93" spans="2:15" ht="15" customHeight="1" x14ac:dyDescent="0.25">
      <c r="B93" s="5" t="s">
        <v>49</v>
      </c>
      <c r="C93" s="7" t="s">
        <v>112</v>
      </c>
      <c r="D93" s="7" t="s">
        <v>112</v>
      </c>
      <c r="E93" s="7" t="s">
        <v>112</v>
      </c>
      <c r="F93" s="44">
        <v>230101</v>
      </c>
      <c r="G93" s="17">
        <f>IFERROR(VLOOKUP($F93,distrito635,2,0),"-")</f>
        <v>1416</v>
      </c>
      <c r="H93" s="25">
        <f>IFERROR(VLOOKUP($F93,distrito635,3,0),"-")</f>
        <v>244</v>
      </c>
      <c r="I93" s="21">
        <f>IFERROR(VLOOKUP($F93,distrito635,4,0),"-")</f>
        <v>17.231638418079097</v>
      </c>
      <c r="J93" s="37">
        <f>IFERROR(VLOOKUP($F93,distrito635,5,0),"-")</f>
        <v>196</v>
      </c>
      <c r="K93" s="25">
        <f>IFERROR(VLOOKUP($F93,distrito635,6,0),"-")</f>
        <v>13.841807909604519</v>
      </c>
      <c r="L93" s="21">
        <f>IFERROR(VLOOKUP($F93,distrito635,7,0),"-")</f>
        <v>48</v>
      </c>
      <c r="M93" s="17">
        <f>IFERROR(VLOOKUP($F93,distrito635,8,0),"-")</f>
        <v>3.3898305084745761</v>
      </c>
      <c r="N93" s="25">
        <f>IFERROR(VLOOKUP($F93,distrito635,9,0),"-")</f>
        <v>0</v>
      </c>
      <c r="O93" s="30">
        <f>IFERROR(VLOOKUP($F93,distrito635,10,0),"-")</f>
        <v>0</v>
      </c>
    </row>
    <row r="94" spans="2:15" ht="15" customHeight="1" thickBot="1" x14ac:dyDescent="0.3">
      <c r="B94" s="5" t="s">
        <v>49</v>
      </c>
      <c r="C94" s="7" t="s">
        <v>112</v>
      </c>
      <c r="D94" s="7" t="s">
        <v>112</v>
      </c>
      <c r="E94" s="7" t="s">
        <v>175</v>
      </c>
      <c r="F94" s="44">
        <v>230111</v>
      </c>
      <c r="G94" s="17">
        <f>IFERROR(VLOOKUP($F94,distrito635,2,0),"-")</f>
        <v>275</v>
      </c>
      <c r="H94" s="25">
        <f>IFERROR(VLOOKUP($F94,distrito635,3,0),"-")</f>
        <v>29</v>
      </c>
      <c r="I94" s="21">
        <f>IFERROR(VLOOKUP($F94,distrito635,4,0),"-")</f>
        <v>10.545454545454545</v>
      </c>
      <c r="J94" s="37">
        <f>IFERROR(VLOOKUP($F94,distrito635,5,0),"-")</f>
        <v>23</v>
      </c>
      <c r="K94" s="25">
        <f>IFERROR(VLOOKUP($F94,distrito635,6,0),"-")</f>
        <v>8.3636363636363633</v>
      </c>
      <c r="L94" s="21">
        <f>IFERROR(VLOOKUP($F94,distrito635,7,0),"-")</f>
        <v>6</v>
      </c>
      <c r="M94" s="17">
        <f>IFERROR(VLOOKUP($F94,distrito635,8,0),"-")</f>
        <v>2.1818181818181821</v>
      </c>
      <c r="N94" s="25">
        <f>IFERROR(VLOOKUP($F94,distrito635,9,0),"-")</f>
        <v>0</v>
      </c>
      <c r="O94" s="30">
        <f>IFERROR(VLOOKUP($F94,distrito635,10,0),"-")</f>
        <v>0</v>
      </c>
    </row>
    <row r="95" spans="2:15" ht="15" customHeight="1" thickBot="1" x14ac:dyDescent="0.3">
      <c r="B95" s="81"/>
      <c r="C95" s="71"/>
      <c r="D95" s="71" t="str">
        <f>UPPER(_xlfn.CONCAT("Total ",B94))</f>
        <v>TOTAL ZONA SUR</v>
      </c>
      <c r="E95" s="71"/>
      <c r="F95" s="82"/>
      <c r="G95" s="19">
        <f>SUM(G93:G94)</f>
        <v>1691</v>
      </c>
      <c r="H95" s="27">
        <f>SUM(H93:H94)</f>
        <v>273</v>
      </c>
      <c r="I95" s="23">
        <f>H95/G95*100</f>
        <v>16.144293317563569</v>
      </c>
      <c r="J95" s="39">
        <f>SUM(J93:J94)</f>
        <v>219</v>
      </c>
      <c r="K95" s="27">
        <f>SUM(K93:K94)</f>
        <v>22.205444273240882</v>
      </c>
      <c r="L95" s="23">
        <f>SUM(L93:L94)</f>
        <v>54</v>
      </c>
      <c r="M95" s="19">
        <f>SUM(M93:M94)</f>
        <v>5.5716486902927578</v>
      </c>
      <c r="N95" s="27">
        <f>SUM(N93:N94)</f>
        <v>0</v>
      </c>
      <c r="O95" s="34">
        <f>N95/M95*100</f>
        <v>0</v>
      </c>
    </row>
    <row r="96" spans="2:15" ht="15" customHeight="1" thickBot="1" x14ac:dyDescent="0.3">
      <c r="B96" s="81"/>
      <c r="C96" s="71"/>
      <c r="D96" s="71" t="s">
        <v>176</v>
      </c>
      <c r="E96" s="71"/>
      <c r="F96" s="82"/>
      <c r="G96" s="19">
        <f>G95+G92+G76+G54+G48</f>
        <v>40760</v>
      </c>
      <c r="H96" s="19">
        <f>H95+H92+H76+H54+H48</f>
        <v>7345</v>
      </c>
      <c r="I96" s="34">
        <f>H96/G96*100</f>
        <v>18.020117762512267</v>
      </c>
      <c r="J96" s="19">
        <f>J95+J92+J76+J54+J48</f>
        <v>5543</v>
      </c>
      <c r="K96" s="23">
        <f>J96/G96*100</f>
        <v>13.599116781157999</v>
      </c>
      <c r="L96" s="19">
        <f>L95+L92+L76+L54+L48</f>
        <v>1765</v>
      </c>
      <c r="M96" s="35">
        <f>L96/G96*100</f>
        <v>4.3302257114818454</v>
      </c>
      <c r="N96" s="19">
        <f>N95+N92+N76+N54+N48</f>
        <v>37</v>
      </c>
      <c r="O96" s="34">
        <f>N96/G96*100</f>
        <v>9.0775269872423944E-2</v>
      </c>
    </row>
    <row r="97" spans="2:6" ht="15" customHeight="1" x14ac:dyDescent="0.25">
      <c r="B97" s="2" t="str">
        <f>_xlfn.CONCAT("Fuente: Sistema de Información SIEN - HIS, ",RIGHT(INICIO!C8,4),".")</f>
        <v>Fuente: Sistema de Información SIEN - HIS, 2025.</v>
      </c>
      <c r="C97" s="2"/>
      <c r="D97" s="12"/>
      <c r="E97" s="12"/>
      <c r="F97" s="12"/>
    </row>
    <row r="98" spans="2:6" ht="15" customHeight="1" x14ac:dyDescent="0.25">
      <c r="B98" s="2" t="s">
        <v>68</v>
      </c>
      <c r="C98" s="2"/>
      <c r="D98" s="12"/>
      <c r="E98" s="12"/>
      <c r="F98" s="12"/>
    </row>
    <row r="99" spans="2:6" ht="15" customHeight="1" x14ac:dyDescent="0.25">
      <c r="B99" s="2" t="s">
        <v>36</v>
      </c>
      <c r="C99" s="2"/>
    </row>
    <row r="100" spans="2:6" ht="15" customHeight="1" x14ac:dyDescent="0.25">
      <c r="B100" s="2"/>
      <c r="C100" s="2"/>
    </row>
  </sheetData>
  <mergeCells count="12">
    <mergeCell ref="B2:O2"/>
    <mergeCell ref="B3:O3"/>
    <mergeCell ref="C5:C6"/>
    <mergeCell ref="D5:D6"/>
    <mergeCell ref="E5:E6"/>
    <mergeCell ref="F5:F6"/>
    <mergeCell ref="G5:G6"/>
    <mergeCell ref="H5:I5"/>
    <mergeCell ref="J5:K5"/>
    <mergeCell ref="L5:M5"/>
    <mergeCell ref="N5:O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0070C0"/>
  </sheetPr>
  <dimension ref="B2:K34"/>
  <sheetViews>
    <sheetView showGridLines="0" workbookViewId="0">
      <selection activeCell="B7" sqref="B7:K3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89" t="s">
        <v>64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5" customHeight="1" thickBot="1" x14ac:dyDescent="0.3"/>
    <row r="5" spans="2:11" ht="15" customHeight="1" thickBot="1" x14ac:dyDescent="0.3">
      <c r="B5" s="101" t="s">
        <v>0</v>
      </c>
      <c r="C5" s="91" t="s">
        <v>10</v>
      </c>
      <c r="D5" s="91" t="s">
        <v>8</v>
      </c>
      <c r="E5" s="91"/>
      <c r="F5" s="94" t="s">
        <v>17</v>
      </c>
      <c r="G5" s="91"/>
      <c r="H5" s="91" t="s">
        <v>18</v>
      </c>
      <c r="I5" s="91"/>
      <c r="J5" s="91" t="s">
        <v>19</v>
      </c>
      <c r="K5" s="91"/>
    </row>
    <row r="6" spans="2:11" ht="15" customHeight="1" thickBot="1" x14ac:dyDescent="0.3">
      <c r="B6" s="101"/>
      <c r="C6" s="91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4" t="s">
        <v>178</v>
      </c>
      <c r="C7" s="40">
        <v>10314</v>
      </c>
      <c r="D7" s="36">
        <v>1245</v>
      </c>
      <c r="E7" s="28">
        <v>12.070971495055264</v>
      </c>
      <c r="F7" s="26">
        <v>974</v>
      </c>
      <c r="G7" s="22">
        <v>9.4434748885010666</v>
      </c>
      <c r="H7" s="36">
        <v>266</v>
      </c>
      <c r="I7" s="29">
        <v>2.5790188093853015</v>
      </c>
      <c r="J7" s="26">
        <v>5</v>
      </c>
      <c r="K7" s="32">
        <v>4.847779716889665E-2</v>
      </c>
    </row>
    <row r="8" spans="2:11" ht="15" customHeight="1" x14ac:dyDescent="0.25">
      <c r="B8" s="5" t="s">
        <v>179</v>
      </c>
      <c r="C8" s="41">
        <v>0</v>
      </c>
      <c r="D8" s="37">
        <v>0</v>
      </c>
      <c r="E8" s="30">
        <v>0</v>
      </c>
      <c r="F8" s="25">
        <v>0</v>
      </c>
      <c r="G8" s="21">
        <v>0</v>
      </c>
      <c r="H8" s="37">
        <v>0</v>
      </c>
      <c r="I8" s="31">
        <v>0</v>
      </c>
      <c r="J8" s="25">
        <v>0</v>
      </c>
      <c r="K8" s="30">
        <v>0</v>
      </c>
    </row>
    <row r="9" spans="2:11" ht="15" customHeight="1" x14ac:dyDescent="0.25">
      <c r="B9" s="5" t="s">
        <v>180</v>
      </c>
      <c r="C9" s="41">
        <v>0</v>
      </c>
      <c r="D9" s="37">
        <v>0</v>
      </c>
      <c r="E9" s="30">
        <v>0</v>
      </c>
      <c r="F9" s="25">
        <v>0</v>
      </c>
      <c r="G9" s="21">
        <v>0</v>
      </c>
      <c r="H9" s="37">
        <v>0</v>
      </c>
      <c r="I9" s="31">
        <v>0</v>
      </c>
      <c r="J9" s="25">
        <v>0</v>
      </c>
      <c r="K9" s="30">
        <v>0</v>
      </c>
    </row>
    <row r="10" spans="2:11" ht="15" customHeight="1" x14ac:dyDescent="0.25">
      <c r="B10" s="5" t="s">
        <v>181</v>
      </c>
      <c r="C10" s="41">
        <v>0</v>
      </c>
      <c r="D10" s="37">
        <v>0</v>
      </c>
      <c r="E10" s="30">
        <v>0</v>
      </c>
      <c r="F10" s="25">
        <v>0</v>
      </c>
      <c r="G10" s="21">
        <v>0</v>
      </c>
      <c r="H10" s="37">
        <v>0</v>
      </c>
      <c r="I10" s="31">
        <v>0</v>
      </c>
      <c r="J10" s="25">
        <v>0</v>
      </c>
      <c r="K10" s="30">
        <v>0</v>
      </c>
    </row>
    <row r="11" spans="2:11" ht="15" customHeight="1" x14ac:dyDescent="0.25">
      <c r="B11" s="5" t="s">
        <v>182</v>
      </c>
      <c r="C11" s="41">
        <v>0</v>
      </c>
      <c r="D11" s="37">
        <v>0</v>
      </c>
      <c r="E11" s="30">
        <v>0</v>
      </c>
      <c r="F11" s="25">
        <v>0</v>
      </c>
      <c r="G11" s="21">
        <v>0</v>
      </c>
      <c r="H11" s="37">
        <v>0</v>
      </c>
      <c r="I11" s="31">
        <v>0</v>
      </c>
      <c r="J11" s="25">
        <v>0</v>
      </c>
      <c r="K11" s="30">
        <v>0</v>
      </c>
    </row>
    <row r="12" spans="2:11" ht="15" customHeight="1" x14ac:dyDescent="0.25">
      <c r="B12" s="5" t="s">
        <v>183</v>
      </c>
      <c r="C12" s="41">
        <v>5871</v>
      </c>
      <c r="D12" s="37">
        <v>716</v>
      </c>
      <c r="E12" s="30">
        <v>12.195537387157215</v>
      </c>
      <c r="F12" s="25">
        <v>615</v>
      </c>
      <c r="G12" s="21">
        <v>10.475217169136434</v>
      </c>
      <c r="H12" s="37">
        <v>98</v>
      </c>
      <c r="I12" s="31">
        <v>1.6692215976835294</v>
      </c>
      <c r="J12" s="25">
        <v>3</v>
      </c>
      <c r="K12" s="30">
        <v>5.1098620337250898E-2</v>
      </c>
    </row>
    <row r="13" spans="2:11" ht="15" customHeight="1" x14ac:dyDescent="0.25">
      <c r="B13" s="5" t="s">
        <v>184</v>
      </c>
      <c r="C13" s="41">
        <v>0</v>
      </c>
      <c r="D13" s="37">
        <v>0</v>
      </c>
      <c r="E13" s="30">
        <v>0</v>
      </c>
      <c r="F13" s="25">
        <v>0</v>
      </c>
      <c r="G13" s="21">
        <v>0</v>
      </c>
      <c r="H13" s="37">
        <v>0</v>
      </c>
      <c r="I13" s="31">
        <v>0</v>
      </c>
      <c r="J13" s="25">
        <v>0</v>
      </c>
      <c r="K13" s="30">
        <v>0</v>
      </c>
    </row>
    <row r="14" spans="2:11" ht="15" customHeight="1" x14ac:dyDescent="0.25">
      <c r="B14" s="5" t="s">
        <v>185</v>
      </c>
      <c r="C14" s="41">
        <v>0</v>
      </c>
      <c r="D14" s="37">
        <v>0</v>
      </c>
      <c r="E14" s="30">
        <v>0</v>
      </c>
      <c r="F14" s="25">
        <v>0</v>
      </c>
      <c r="G14" s="21">
        <v>0</v>
      </c>
      <c r="H14" s="37">
        <v>0</v>
      </c>
      <c r="I14" s="31">
        <v>0</v>
      </c>
      <c r="J14" s="25">
        <v>0</v>
      </c>
      <c r="K14" s="30">
        <v>0</v>
      </c>
    </row>
    <row r="15" spans="2:11" ht="15" customHeight="1" x14ac:dyDescent="0.25">
      <c r="B15" s="5" t="s">
        <v>186</v>
      </c>
      <c r="C15" s="41">
        <v>0</v>
      </c>
      <c r="D15" s="37">
        <v>0</v>
      </c>
      <c r="E15" s="30">
        <v>0</v>
      </c>
      <c r="F15" s="25">
        <v>0</v>
      </c>
      <c r="G15" s="21">
        <v>0</v>
      </c>
      <c r="H15" s="37">
        <v>0</v>
      </c>
      <c r="I15" s="31">
        <v>0</v>
      </c>
      <c r="J15" s="25">
        <v>0</v>
      </c>
      <c r="K15" s="30">
        <v>0</v>
      </c>
    </row>
    <row r="16" spans="2:11" ht="15" customHeight="1" x14ac:dyDescent="0.25">
      <c r="B16" s="5" t="s">
        <v>187</v>
      </c>
      <c r="C16" s="41">
        <v>0</v>
      </c>
      <c r="D16" s="37">
        <v>0</v>
      </c>
      <c r="E16" s="30">
        <v>0</v>
      </c>
      <c r="F16" s="25">
        <v>0</v>
      </c>
      <c r="G16" s="21">
        <v>0</v>
      </c>
      <c r="H16" s="37">
        <v>0</v>
      </c>
      <c r="I16" s="31">
        <v>0</v>
      </c>
      <c r="J16" s="25">
        <v>0</v>
      </c>
      <c r="K16" s="30">
        <v>0</v>
      </c>
    </row>
    <row r="17" spans="2:11" ht="15" customHeight="1" x14ac:dyDescent="0.25">
      <c r="B17" s="5" t="s">
        <v>188</v>
      </c>
      <c r="C17" s="41">
        <v>0</v>
      </c>
      <c r="D17" s="37">
        <v>0</v>
      </c>
      <c r="E17" s="30">
        <v>0</v>
      </c>
      <c r="F17" s="25">
        <v>0</v>
      </c>
      <c r="G17" s="21">
        <v>0</v>
      </c>
      <c r="H17" s="37">
        <v>0</v>
      </c>
      <c r="I17" s="31">
        <v>0</v>
      </c>
      <c r="J17" s="25">
        <v>0</v>
      </c>
      <c r="K17" s="30">
        <v>0</v>
      </c>
    </row>
    <row r="18" spans="2:11" ht="15" customHeight="1" x14ac:dyDescent="0.25">
      <c r="B18" s="5" t="s">
        <v>189</v>
      </c>
      <c r="C18" s="41">
        <v>0</v>
      </c>
      <c r="D18" s="37">
        <v>0</v>
      </c>
      <c r="E18" s="30">
        <v>0</v>
      </c>
      <c r="F18" s="25">
        <v>0</v>
      </c>
      <c r="G18" s="21">
        <v>0</v>
      </c>
      <c r="H18" s="37">
        <v>0</v>
      </c>
      <c r="I18" s="31">
        <v>0</v>
      </c>
      <c r="J18" s="25">
        <v>0</v>
      </c>
      <c r="K18" s="30">
        <v>0</v>
      </c>
    </row>
    <row r="19" spans="2:11" ht="15" customHeight="1" x14ac:dyDescent="0.25">
      <c r="B19" s="5" t="s">
        <v>190</v>
      </c>
      <c r="C19" s="41">
        <v>0</v>
      </c>
      <c r="D19" s="37">
        <v>0</v>
      </c>
      <c r="E19" s="30">
        <v>0</v>
      </c>
      <c r="F19" s="25">
        <v>0</v>
      </c>
      <c r="G19" s="21">
        <v>0</v>
      </c>
      <c r="H19" s="37">
        <v>0</v>
      </c>
      <c r="I19" s="31">
        <v>0</v>
      </c>
      <c r="J19" s="25">
        <v>0</v>
      </c>
      <c r="K19" s="30">
        <v>0</v>
      </c>
    </row>
    <row r="20" spans="2:11" ht="15" customHeight="1" x14ac:dyDescent="0.25">
      <c r="B20" s="5" t="s">
        <v>191</v>
      </c>
      <c r="C20" s="41">
        <v>0</v>
      </c>
      <c r="D20" s="37">
        <v>0</v>
      </c>
      <c r="E20" s="30">
        <v>0</v>
      </c>
      <c r="F20" s="25">
        <v>0</v>
      </c>
      <c r="G20" s="21">
        <v>0</v>
      </c>
      <c r="H20" s="37">
        <v>0</v>
      </c>
      <c r="I20" s="31">
        <v>0</v>
      </c>
      <c r="J20" s="25">
        <v>0</v>
      </c>
      <c r="K20" s="30">
        <v>0</v>
      </c>
    </row>
    <row r="21" spans="2:11" ht="15" customHeight="1" x14ac:dyDescent="0.25">
      <c r="B21" s="5" t="s">
        <v>192</v>
      </c>
      <c r="C21" s="41">
        <v>0</v>
      </c>
      <c r="D21" s="37">
        <v>0</v>
      </c>
      <c r="E21" s="30">
        <v>0</v>
      </c>
      <c r="F21" s="25">
        <v>0</v>
      </c>
      <c r="G21" s="21">
        <v>0</v>
      </c>
      <c r="H21" s="37">
        <v>0</v>
      </c>
      <c r="I21" s="31">
        <v>0</v>
      </c>
      <c r="J21" s="25">
        <v>0</v>
      </c>
      <c r="K21" s="30">
        <v>0</v>
      </c>
    </row>
    <row r="22" spans="2:11" ht="15" customHeight="1" x14ac:dyDescent="0.25">
      <c r="B22" s="5" t="s">
        <v>193</v>
      </c>
      <c r="C22" s="41">
        <v>7794</v>
      </c>
      <c r="D22" s="37">
        <v>1513</v>
      </c>
      <c r="E22" s="30">
        <v>19.41236848858096</v>
      </c>
      <c r="F22" s="25">
        <v>1127</v>
      </c>
      <c r="G22" s="21">
        <v>14.459840903258916</v>
      </c>
      <c r="H22" s="37">
        <v>377</v>
      </c>
      <c r="I22" s="31">
        <v>4.8370541442134973</v>
      </c>
      <c r="J22" s="25">
        <v>9</v>
      </c>
      <c r="K22" s="30">
        <v>0.11547344110854503</v>
      </c>
    </row>
    <row r="23" spans="2:11" ht="15" customHeight="1" x14ac:dyDescent="0.25">
      <c r="B23" s="5" t="s">
        <v>194</v>
      </c>
      <c r="C23" s="41">
        <v>6064</v>
      </c>
      <c r="D23" s="37">
        <v>757</v>
      </c>
      <c r="E23" s="30">
        <v>12.483509234828496</v>
      </c>
      <c r="F23" s="25">
        <v>571</v>
      </c>
      <c r="G23" s="21">
        <v>9.4162269129287601</v>
      </c>
      <c r="H23" s="37">
        <v>185</v>
      </c>
      <c r="I23" s="31">
        <v>3.0507915567282322</v>
      </c>
      <c r="J23" s="25">
        <v>1</v>
      </c>
      <c r="K23" s="30">
        <v>1.6490765171503961E-2</v>
      </c>
    </row>
    <row r="24" spans="2:11" ht="15" customHeight="1" x14ac:dyDescent="0.25">
      <c r="B24" s="5" t="s">
        <v>195</v>
      </c>
      <c r="C24" s="41">
        <v>0</v>
      </c>
      <c r="D24" s="37">
        <v>0</v>
      </c>
      <c r="E24" s="30">
        <v>0</v>
      </c>
      <c r="F24" s="25">
        <v>0</v>
      </c>
      <c r="G24" s="21">
        <v>0</v>
      </c>
      <c r="H24" s="37">
        <v>0</v>
      </c>
      <c r="I24" s="31">
        <v>0</v>
      </c>
      <c r="J24" s="25">
        <v>0</v>
      </c>
      <c r="K24" s="30">
        <v>0</v>
      </c>
    </row>
    <row r="25" spans="2:11" ht="15" customHeight="1" x14ac:dyDescent="0.25">
      <c r="B25" s="5" t="s">
        <v>196</v>
      </c>
      <c r="C25" s="41">
        <v>0</v>
      </c>
      <c r="D25" s="37">
        <v>0</v>
      </c>
      <c r="E25" s="30">
        <v>0</v>
      </c>
      <c r="F25" s="25">
        <v>0</v>
      </c>
      <c r="G25" s="21">
        <v>0</v>
      </c>
      <c r="H25" s="37">
        <v>0</v>
      </c>
      <c r="I25" s="31">
        <v>0</v>
      </c>
      <c r="J25" s="25">
        <v>0</v>
      </c>
      <c r="K25" s="30">
        <v>0</v>
      </c>
    </row>
    <row r="26" spans="2:11" ht="15" customHeight="1" x14ac:dyDescent="0.25">
      <c r="B26" s="5" t="s">
        <v>197</v>
      </c>
      <c r="C26" s="41">
        <v>4889</v>
      </c>
      <c r="D26" s="37">
        <v>1218</v>
      </c>
      <c r="E26" s="30">
        <v>24.913070157496421</v>
      </c>
      <c r="F26" s="25">
        <v>842</v>
      </c>
      <c r="G26" s="21">
        <v>17.222335856003273</v>
      </c>
      <c r="H26" s="37">
        <v>374</v>
      </c>
      <c r="I26" s="31">
        <v>7.6498261403149925</v>
      </c>
      <c r="J26" s="25">
        <v>2</v>
      </c>
      <c r="K26" s="30">
        <v>4.0908161178155038E-2</v>
      </c>
    </row>
    <row r="27" spans="2:11" ht="15" customHeight="1" x14ac:dyDescent="0.25">
      <c r="B27" s="5" t="s">
        <v>198</v>
      </c>
      <c r="C27" s="41">
        <v>15765</v>
      </c>
      <c r="D27" s="37">
        <v>2587</v>
      </c>
      <c r="E27" s="30">
        <v>16.409768474468763</v>
      </c>
      <c r="F27" s="25">
        <v>2102</v>
      </c>
      <c r="G27" s="21">
        <v>13.333333333333334</v>
      </c>
      <c r="H27" s="37">
        <v>465</v>
      </c>
      <c r="I27" s="31">
        <v>2.9495718363463368</v>
      </c>
      <c r="J27" s="25">
        <v>20</v>
      </c>
      <c r="K27" s="30">
        <v>0.12686330478908975</v>
      </c>
    </row>
    <row r="28" spans="2:11" ht="15" customHeight="1" x14ac:dyDescent="0.25">
      <c r="B28" s="5" t="s">
        <v>199</v>
      </c>
      <c r="C28" s="41">
        <v>0</v>
      </c>
      <c r="D28" s="37">
        <v>0</v>
      </c>
      <c r="E28" s="30">
        <v>0</v>
      </c>
      <c r="F28" s="25">
        <v>0</v>
      </c>
      <c r="G28" s="21">
        <v>0</v>
      </c>
      <c r="H28" s="37">
        <v>0</v>
      </c>
      <c r="I28" s="31">
        <v>0</v>
      </c>
      <c r="J28" s="25">
        <v>0</v>
      </c>
      <c r="K28" s="30">
        <v>0</v>
      </c>
    </row>
    <row r="29" spans="2:11" ht="15" customHeight="1" x14ac:dyDescent="0.25">
      <c r="B29" s="5" t="s">
        <v>200</v>
      </c>
      <c r="C29" s="41">
        <v>3072</v>
      </c>
      <c r="D29" s="37">
        <v>449</v>
      </c>
      <c r="E29" s="30">
        <v>14.615885416666666</v>
      </c>
      <c r="F29" s="25">
        <v>355</v>
      </c>
      <c r="G29" s="21">
        <v>11.555989583333332</v>
      </c>
      <c r="H29" s="37">
        <v>94</v>
      </c>
      <c r="I29" s="31">
        <v>3.059895833333333</v>
      </c>
      <c r="J29" s="25">
        <v>0</v>
      </c>
      <c r="K29" s="30">
        <v>0</v>
      </c>
    </row>
    <row r="30" spans="2:11" ht="15" customHeight="1" x14ac:dyDescent="0.25">
      <c r="B30" s="5" t="s">
        <v>201</v>
      </c>
      <c r="C30" s="41">
        <v>3975</v>
      </c>
      <c r="D30" s="37">
        <v>306</v>
      </c>
      <c r="E30" s="30">
        <v>7.698113207547169</v>
      </c>
      <c r="F30" s="25">
        <v>239</v>
      </c>
      <c r="G30" s="21">
        <v>6.0125786163522017</v>
      </c>
      <c r="H30" s="37">
        <v>67</v>
      </c>
      <c r="I30" s="31">
        <v>1.6855345911949686</v>
      </c>
      <c r="J30" s="25">
        <v>0</v>
      </c>
      <c r="K30" s="30">
        <v>0</v>
      </c>
    </row>
    <row r="31" spans="2:11" ht="15" customHeight="1" thickBot="1" x14ac:dyDescent="0.3">
      <c r="B31" s="4" t="s">
        <v>202</v>
      </c>
      <c r="C31" s="40">
        <v>9173</v>
      </c>
      <c r="D31" s="38">
        <v>1645</v>
      </c>
      <c r="E31" s="32">
        <v>17.933064428213235</v>
      </c>
      <c r="F31" s="26">
        <v>1255</v>
      </c>
      <c r="G31" s="22">
        <v>13.681456448272103</v>
      </c>
      <c r="H31" s="38">
        <v>387</v>
      </c>
      <c r="I31" s="33">
        <v>4.2189033031723531</v>
      </c>
      <c r="J31" s="26">
        <v>3</v>
      </c>
      <c r="K31" s="32">
        <v>3.2704676768777932E-2</v>
      </c>
    </row>
    <row r="32" spans="2:11" ht="15" customHeight="1" thickBot="1" x14ac:dyDescent="0.3">
      <c r="B32" s="11" t="s">
        <v>44</v>
      </c>
      <c r="C32" s="42">
        <f>SUM(C7:C31)</f>
        <v>66917</v>
      </c>
      <c r="D32" s="39">
        <f>SUM(D7:D31)</f>
        <v>10436</v>
      </c>
      <c r="E32" s="34">
        <f>D32/C32*100</f>
        <v>15.595439126081564</v>
      </c>
      <c r="F32" s="27">
        <f>SUM(F7:F31)</f>
        <v>8080</v>
      </c>
      <c r="G32" s="23">
        <f>F32/C32*100</f>
        <v>12.074659653002975</v>
      </c>
      <c r="H32" s="39">
        <f>SUM(H7:H31)</f>
        <v>2313</v>
      </c>
      <c r="I32" s="35">
        <f>H32/C32*100</f>
        <v>3.4565207645291931</v>
      </c>
      <c r="J32" s="27">
        <f>SUM(J7:J31)</f>
        <v>43</v>
      </c>
      <c r="K32" s="34">
        <f>J32/C32*100</f>
        <v>6.4258708549397012E-2</v>
      </c>
    </row>
    <row r="33" spans="2:2" ht="15" customHeight="1" x14ac:dyDescent="0.25">
      <c r="B33" s="2" t="str">
        <f>_xlfn.CONCAT("Fuente: Sistema de Información SIEN - HIS, ",RIGHT(INICIO!C8,4),".")</f>
        <v>Fuente: Sistema de Información SIEN - HIS, 2025.</v>
      </c>
    </row>
    <row r="34" spans="2:2" ht="15" customHeight="1" x14ac:dyDescent="0.25">
      <c r="B34" s="2" t="s">
        <v>68</v>
      </c>
    </row>
  </sheetData>
  <mergeCells count="8">
    <mergeCell ref="B2:K2"/>
    <mergeCell ref="B3:K3"/>
    <mergeCell ref="B5:B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rgb="FF0070C0"/>
  </sheetPr>
  <dimension ref="B2:K38"/>
  <sheetViews>
    <sheetView showGridLines="0" workbookViewId="0">
      <selection activeCell="B7" sqref="B7:K35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1" width="12.7109375" style="1" customWidth="1"/>
    <col min="12" max="16384" width="11.42578125" style="1"/>
  </cols>
  <sheetData>
    <row r="2" spans="2:11" ht="84.95" customHeight="1" x14ac:dyDescent="0.25">
      <c r="B2" s="89" t="s">
        <v>65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5" customHeight="1" thickBot="1" x14ac:dyDescent="0.3"/>
    <row r="5" spans="2:11" ht="15" customHeight="1" thickBot="1" x14ac:dyDescent="0.3">
      <c r="B5" s="101" t="s">
        <v>22</v>
      </c>
      <c r="C5" s="91" t="s">
        <v>10</v>
      </c>
      <c r="D5" s="91" t="s">
        <v>8</v>
      </c>
      <c r="E5" s="91"/>
      <c r="F5" s="94" t="s">
        <v>17</v>
      </c>
      <c r="G5" s="91"/>
      <c r="H5" s="91" t="s">
        <v>18</v>
      </c>
      <c r="I5" s="91"/>
      <c r="J5" s="91" t="s">
        <v>19</v>
      </c>
      <c r="K5" s="91"/>
    </row>
    <row r="6" spans="2:11" ht="15" customHeight="1" thickBot="1" x14ac:dyDescent="0.3">
      <c r="B6" s="101"/>
      <c r="C6" s="91"/>
      <c r="D6" s="9" t="s">
        <v>1</v>
      </c>
      <c r="E6" s="9" t="s">
        <v>2</v>
      </c>
      <c r="F6" s="10" t="s">
        <v>1</v>
      </c>
      <c r="G6" s="9" t="s">
        <v>2</v>
      </c>
      <c r="H6" s="9" t="s">
        <v>1</v>
      </c>
      <c r="I6" s="9" t="s">
        <v>2</v>
      </c>
      <c r="J6" s="9" t="s">
        <v>1</v>
      </c>
      <c r="K6" s="9" t="s">
        <v>2</v>
      </c>
    </row>
    <row r="7" spans="2:11" ht="15" customHeight="1" x14ac:dyDescent="0.25">
      <c r="B7" s="4" t="s">
        <v>178</v>
      </c>
      <c r="C7" s="40">
        <v>10314</v>
      </c>
      <c r="D7" s="36">
        <v>1245</v>
      </c>
      <c r="E7" s="28">
        <v>12.070971495055264</v>
      </c>
      <c r="F7" s="26">
        <v>974</v>
      </c>
      <c r="G7" s="22">
        <v>9.4434748885010666</v>
      </c>
      <c r="H7" s="36">
        <v>266</v>
      </c>
      <c r="I7" s="29">
        <v>2.5790188093853015</v>
      </c>
      <c r="J7" s="26">
        <v>5</v>
      </c>
      <c r="K7" s="32">
        <v>4.847779716889665E-2</v>
      </c>
    </row>
    <row r="8" spans="2:11" ht="15" customHeight="1" x14ac:dyDescent="0.25">
      <c r="B8" s="5" t="s">
        <v>179</v>
      </c>
      <c r="C8" s="41">
        <v>0</v>
      </c>
      <c r="D8" s="37">
        <v>0</v>
      </c>
      <c r="E8" s="30">
        <v>0</v>
      </c>
      <c r="F8" s="25">
        <v>0</v>
      </c>
      <c r="G8" s="21">
        <v>0</v>
      </c>
      <c r="H8" s="37">
        <v>0</v>
      </c>
      <c r="I8" s="31">
        <v>0</v>
      </c>
      <c r="J8" s="25">
        <v>0</v>
      </c>
      <c r="K8" s="30">
        <v>0</v>
      </c>
    </row>
    <row r="9" spans="2:11" ht="15" customHeight="1" x14ac:dyDescent="0.25">
      <c r="B9" s="5" t="s">
        <v>180</v>
      </c>
      <c r="C9" s="41">
        <v>0</v>
      </c>
      <c r="D9" s="37">
        <v>0</v>
      </c>
      <c r="E9" s="30">
        <v>0</v>
      </c>
      <c r="F9" s="25">
        <v>0</v>
      </c>
      <c r="G9" s="21">
        <v>0</v>
      </c>
      <c r="H9" s="37">
        <v>0</v>
      </c>
      <c r="I9" s="31">
        <v>0</v>
      </c>
      <c r="J9" s="25">
        <v>0</v>
      </c>
      <c r="K9" s="30">
        <v>0</v>
      </c>
    </row>
    <row r="10" spans="2:11" ht="15" customHeight="1" x14ac:dyDescent="0.25">
      <c r="B10" s="5" t="s">
        <v>181</v>
      </c>
      <c r="C10" s="41">
        <v>0</v>
      </c>
      <c r="D10" s="37">
        <v>0</v>
      </c>
      <c r="E10" s="30">
        <v>0</v>
      </c>
      <c r="F10" s="25">
        <v>0</v>
      </c>
      <c r="G10" s="21">
        <v>0</v>
      </c>
      <c r="H10" s="37">
        <v>0</v>
      </c>
      <c r="I10" s="31">
        <v>0</v>
      </c>
      <c r="J10" s="25">
        <v>0</v>
      </c>
      <c r="K10" s="30">
        <v>0</v>
      </c>
    </row>
    <row r="11" spans="2:11" ht="15" customHeight="1" x14ac:dyDescent="0.25">
      <c r="B11" s="5" t="s">
        <v>182</v>
      </c>
      <c r="C11" s="41">
        <v>0</v>
      </c>
      <c r="D11" s="37">
        <v>0</v>
      </c>
      <c r="E11" s="30">
        <v>0</v>
      </c>
      <c r="F11" s="25">
        <v>0</v>
      </c>
      <c r="G11" s="21">
        <v>0</v>
      </c>
      <c r="H11" s="37">
        <v>0</v>
      </c>
      <c r="I11" s="31">
        <v>0</v>
      </c>
      <c r="J11" s="25">
        <v>0</v>
      </c>
      <c r="K11" s="30">
        <v>0</v>
      </c>
    </row>
    <row r="12" spans="2:11" ht="15" customHeight="1" x14ac:dyDescent="0.25">
      <c r="B12" s="5" t="s">
        <v>183</v>
      </c>
      <c r="C12" s="41">
        <v>5871</v>
      </c>
      <c r="D12" s="37">
        <v>716</v>
      </c>
      <c r="E12" s="30">
        <v>12.195537387157215</v>
      </c>
      <c r="F12" s="25">
        <v>615</v>
      </c>
      <c r="G12" s="21">
        <v>10.475217169136434</v>
      </c>
      <c r="H12" s="37">
        <v>98</v>
      </c>
      <c r="I12" s="31">
        <v>1.6692215976835294</v>
      </c>
      <c r="J12" s="25">
        <v>3</v>
      </c>
      <c r="K12" s="30">
        <v>5.1098620337250898E-2</v>
      </c>
    </row>
    <row r="13" spans="2:11" ht="15" customHeight="1" x14ac:dyDescent="0.25">
      <c r="B13" s="5" t="s">
        <v>184</v>
      </c>
      <c r="C13" s="41">
        <v>0</v>
      </c>
      <c r="D13" s="37">
        <v>0</v>
      </c>
      <c r="E13" s="30">
        <v>0</v>
      </c>
      <c r="F13" s="25">
        <v>0</v>
      </c>
      <c r="G13" s="21">
        <v>0</v>
      </c>
      <c r="H13" s="37">
        <v>0</v>
      </c>
      <c r="I13" s="31">
        <v>0</v>
      </c>
      <c r="J13" s="25">
        <v>0</v>
      </c>
      <c r="K13" s="30">
        <v>0</v>
      </c>
    </row>
    <row r="14" spans="2:11" ht="15" customHeight="1" x14ac:dyDescent="0.25">
      <c r="B14" s="5" t="s">
        <v>185</v>
      </c>
      <c r="C14" s="41">
        <v>0</v>
      </c>
      <c r="D14" s="37">
        <v>0</v>
      </c>
      <c r="E14" s="30">
        <v>0</v>
      </c>
      <c r="F14" s="25">
        <v>0</v>
      </c>
      <c r="G14" s="21">
        <v>0</v>
      </c>
      <c r="H14" s="37">
        <v>0</v>
      </c>
      <c r="I14" s="31">
        <v>0</v>
      </c>
      <c r="J14" s="25">
        <v>0</v>
      </c>
      <c r="K14" s="30">
        <v>0</v>
      </c>
    </row>
    <row r="15" spans="2:11" ht="15" customHeight="1" x14ac:dyDescent="0.25">
      <c r="B15" s="5" t="s">
        <v>186</v>
      </c>
      <c r="C15" s="41">
        <v>0</v>
      </c>
      <c r="D15" s="37">
        <v>0</v>
      </c>
      <c r="E15" s="30">
        <v>0</v>
      </c>
      <c r="F15" s="25">
        <v>0</v>
      </c>
      <c r="G15" s="21">
        <v>0</v>
      </c>
      <c r="H15" s="37">
        <v>0</v>
      </c>
      <c r="I15" s="31">
        <v>0</v>
      </c>
      <c r="J15" s="25">
        <v>0</v>
      </c>
      <c r="K15" s="30">
        <v>0</v>
      </c>
    </row>
    <row r="16" spans="2:11" ht="15" customHeight="1" x14ac:dyDescent="0.25">
      <c r="B16" s="5" t="s">
        <v>187</v>
      </c>
      <c r="C16" s="41">
        <v>0</v>
      </c>
      <c r="D16" s="37">
        <v>0</v>
      </c>
      <c r="E16" s="30">
        <v>0</v>
      </c>
      <c r="F16" s="25">
        <v>0</v>
      </c>
      <c r="G16" s="21">
        <v>0</v>
      </c>
      <c r="H16" s="37">
        <v>0</v>
      </c>
      <c r="I16" s="31">
        <v>0</v>
      </c>
      <c r="J16" s="25">
        <v>0</v>
      </c>
      <c r="K16" s="30">
        <v>0</v>
      </c>
    </row>
    <row r="17" spans="2:11" ht="15" customHeight="1" x14ac:dyDescent="0.25">
      <c r="B17" s="5" t="s">
        <v>188</v>
      </c>
      <c r="C17" s="41">
        <v>0</v>
      </c>
      <c r="D17" s="37">
        <v>0</v>
      </c>
      <c r="E17" s="30">
        <v>0</v>
      </c>
      <c r="F17" s="25">
        <v>0</v>
      </c>
      <c r="G17" s="21">
        <v>0</v>
      </c>
      <c r="H17" s="37">
        <v>0</v>
      </c>
      <c r="I17" s="31">
        <v>0</v>
      </c>
      <c r="J17" s="25">
        <v>0</v>
      </c>
      <c r="K17" s="30">
        <v>0</v>
      </c>
    </row>
    <row r="18" spans="2:11" ht="15" customHeight="1" x14ac:dyDescent="0.25">
      <c r="B18" s="5" t="s">
        <v>189</v>
      </c>
      <c r="C18" s="41">
        <v>0</v>
      </c>
      <c r="D18" s="37">
        <v>0</v>
      </c>
      <c r="E18" s="30">
        <v>0</v>
      </c>
      <c r="F18" s="25">
        <v>0</v>
      </c>
      <c r="G18" s="21">
        <v>0</v>
      </c>
      <c r="H18" s="37">
        <v>0</v>
      </c>
      <c r="I18" s="31">
        <v>0</v>
      </c>
      <c r="J18" s="25">
        <v>0</v>
      </c>
      <c r="K18" s="30">
        <v>0</v>
      </c>
    </row>
    <row r="19" spans="2:11" ht="15" customHeight="1" x14ac:dyDescent="0.25">
      <c r="B19" s="5" t="s">
        <v>190</v>
      </c>
      <c r="C19" s="41">
        <v>0</v>
      </c>
      <c r="D19" s="37">
        <v>0</v>
      </c>
      <c r="E19" s="30">
        <v>0</v>
      </c>
      <c r="F19" s="25">
        <v>0</v>
      </c>
      <c r="G19" s="21">
        <v>0</v>
      </c>
      <c r="H19" s="37">
        <v>0</v>
      </c>
      <c r="I19" s="31">
        <v>0</v>
      </c>
      <c r="J19" s="25">
        <v>0</v>
      </c>
      <c r="K19" s="30">
        <v>0</v>
      </c>
    </row>
    <row r="20" spans="2:11" ht="15" customHeight="1" x14ac:dyDescent="0.25">
      <c r="B20" s="5" t="s">
        <v>191</v>
      </c>
      <c r="C20" s="41">
        <v>0</v>
      </c>
      <c r="D20" s="37">
        <v>0</v>
      </c>
      <c r="E20" s="30">
        <v>0</v>
      </c>
      <c r="F20" s="25">
        <v>0</v>
      </c>
      <c r="G20" s="21">
        <v>0</v>
      </c>
      <c r="H20" s="37">
        <v>0</v>
      </c>
      <c r="I20" s="31">
        <v>0</v>
      </c>
      <c r="J20" s="25">
        <v>0</v>
      </c>
      <c r="K20" s="30">
        <v>0</v>
      </c>
    </row>
    <row r="21" spans="2:11" ht="15" customHeight="1" x14ac:dyDescent="0.25">
      <c r="B21" s="5" t="s">
        <v>203</v>
      </c>
      <c r="C21" s="41">
        <v>0</v>
      </c>
      <c r="D21" s="37">
        <v>0</v>
      </c>
      <c r="E21" s="30">
        <v>0</v>
      </c>
      <c r="F21" s="25">
        <v>0</v>
      </c>
      <c r="G21" s="21">
        <v>0</v>
      </c>
      <c r="H21" s="37">
        <v>0</v>
      </c>
      <c r="I21" s="31">
        <v>0</v>
      </c>
      <c r="J21" s="25">
        <v>0</v>
      </c>
      <c r="K21" s="30">
        <v>0</v>
      </c>
    </row>
    <row r="22" spans="2:11" ht="15" customHeight="1" x14ac:dyDescent="0.25">
      <c r="B22" s="5" t="s">
        <v>204</v>
      </c>
      <c r="C22" s="41">
        <v>0</v>
      </c>
      <c r="D22" s="37">
        <v>0</v>
      </c>
      <c r="E22" s="30">
        <v>0</v>
      </c>
      <c r="F22" s="25">
        <v>0</v>
      </c>
      <c r="G22" s="21">
        <v>0</v>
      </c>
      <c r="H22" s="37">
        <v>0</v>
      </c>
      <c r="I22" s="31">
        <v>0</v>
      </c>
      <c r="J22" s="25">
        <v>0</v>
      </c>
      <c r="K22" s="30">
        <v>0</v>
      </c>
    </row>
    <row r="23" spans="2:11" ht="15" customHeight="1" x14ac:dyDescent="0.25">
      <c r="B23" s="5" t="s">
        <v>205</v>
      </c>
      <c r="C23" s="41">
        <v>0</v>
      </c>
      <c r="D23" s="37">
        <v>0</v>
      </c>
      <c r="E23" s="30">
        <v>0</v>
      </c>
      <c r="F23" s="25">
        <v>0</v>
      </c>
      <c r="G23" s="21">
        <v>0</v>
      </c>
      <c r="H23" s="37">
        <v>0</v>
      </c>
      <c r="I23" s="31">
        <v>0</v>
      </c>
      <c r="J23" s="25">
        <v>0</v>
      </c>
      <c r="K23" s="30">
        <v>0</v>
      </c>
    </row>
    <row r="24" spans="2:11" ht="15" customHeight="1" x14ac:dyDescent="0.25">
      <c r="B24" s="5" t="s">
        <v>206</v>
      </c>
      <c r="C24" s="41">
        <v>0</v>
      </c>
      <c r="D24" s="37">
        <v>0</v>
      </c>
      <c r="E24" s="30">
        <v>0</v>
      </c>
      <c r="F24" s="25">
        <v>0</v>
      </c>
      <c r="G24" s="21">
        <v>0</v>
      </c>
      <c r="H24" s="37">
        <v>0</v>
      </c>
      <c r="I24" s="31">
        <v>0</v>
      </c>
      <c r="J24" s="25">
        <v>0</v>
      </c>
      <c r="K24" s="30">
        <v>0</v>
      </c>
    </row>
    <row r="25" spans="2:11" ht="15" customHeight="1" x14ac:dyDescent="0.25">
      <c r="B25" s="5" t="s">
        <v>207</v>
      </c>
      <c r="C25" s="41">
        <v>0</v>
      </c>
      <c r="D25" s="37">
        <v>0</v>
      </c>
      <c r="E25" s="30">
        <v>0</v>
      </c>
      <c r="F25" s="25">
        <v>0</v>
      </c>
      <c r="G25" s="21">
        <v>0</v>
      </c>
      <c r="H25" s="37">
        <v>0</v>
      </c>
      <c r="I25" s="31">
        <v>0</v>
      </c>
      <c r="J25" s="25">
        <v>0</v>
      </c>
      <c r="K25" s="30">
        <v>0</v>
      </c>
    </row>
    <row r="26" spans="2:11" ht="15" customHeight="1" x14ac:dyDescent="0.25">
      <c r="B26" s="5" t="s">
        <v>193</v>
      </c>
      <c r="C26" s="41">
        <v>7794</v>
      </c>
      <c r="D26" s="37">
        <v>1513</v>
      </c>
      <c r="E26" s="30">
        <v>19.41236848858096</v>
      </c>
      <c r="F26" s="25">
        <v>1127</v>
      </c>
      <c r="G26" s="21">
        <v>14.459840903258916</v>
      </c>
      <c r="H26" s="37">
        <v>377</v>
      </c>
      <c r="I26" s="31">
        <v>4.8370541442134973</v>
      </c>
      <c r="J26" s="25">
        <v>9</v>
      </c>
      <c r="K26" s="30">
        <v>0.11547344110854503</v>
      </c>
    </row>
    <row r="27" spans="2:11" ht="15" customHeight="1" x14ac:dyDescent="0.25">
      <c r="B27" s="5" t="s">
        <v>194</v>
      </c>
      <c r="C27" s="41">
        <v>6064</v>
      </c>
      <c r="D27" s="37">
        <v>757</v>
      </c>
      <c r="E27" s="30">
        <v>12.483509234828496</v>
      </c>
      <c r="F27" s="25">
        <v>571</v>
      </c>
      <c r="G27" s="21">
        <v>9.4162269129287601</v>
      </c>
      <c r="H27" s="37">
        <v>185</v>
      </c>
      <c r="I27" s="31">
        <v>3.0507915567282322</v>
      </c>
      <c r="J27" s="25">
        <v>1</v>
      </c>
      <c r="K27" s="30">
        <v>1.6490765171503961E-2</v>
      </c>
    </row>
    <row r="28" spans="2:11" ht="15" customHeight="1" x14ac:dyDescent="0.25">
      <c r="B28" s="5" t="s">
        <v>195</v>
      </c>
      <c r="C28" s="41">
        <v>0</v>
      </c>
      <c r="D28" s="37">
        <v>0</v>
      </c>
      <c r="E28" s="30">
        <v>0</v>
      </c>
      <c r="F28" s="25">
        <v>0</v>
      </c>
      <c r="G28" s="21">
        <v>0</v>
      </c>
      <c r="H28" s="37">
        <v>0</v>
      </c>
      <c r="I28" s="31">
        <v>0</v>
      </c>
      <c r="J28" s="25">
        <v>0</v>
      </c>
      <c r="K28" s="30">
        <v>0</v>
      </c>
    </row>
    <row r="29" spans="2:11" ht="15" customHeight="1" x14ac:dyDescent="0.25">
      <c r="B29" s="5" t="s">
        <v>196</v>
      </c>
      <c r="C29" s="41">
        <v>0</v>
      </c>
      <c r="D29" s="37">
        <v>0</v>
      </c>
      <c r="E29" s="30">
        <v>0</v>
      </c>
      <c r="F29" s="25">
        <v>0</v>
      </c>
      <c r="G29" s="21">
        <v>0</v>
      </c>
      <c r="H29" s="37">
        <v>0</v>
      </c>
      <c r="I29" s="31">
        <v>0</v>
      </c>
      <c r="J29" s="25">
        <v>0</v>
      </c>
      <c r="K29" s="30">
        <v>0</v>
      </c>
    </row>
    <row r="30" spans="2:11" ht="15" customHeight="1" x14ac:dyDescent="0.25">
      <c r="B30" s="5" t="s">
        <v>197</v>
      </c>
      <c r="C30" s="41">
        <v>4889</v>
      </c>
      <c r="D30" s="37">
        <v>1218</v>
      </c>
      <c r="E30" s="30">
        <v>24.913070157496421</v>
      </c>
      <c r="F30" s="25">
        <v>842</v>
      </c>
      <c r="G30" s="21">
        <v>17.222335856003273</v>
      </c>
      <c r="H30" s="37">
        <v>374</v>
      </c>
      <c r="I30" s="31">
        <v>7.6498261403149925</v>
      </c>
      <c r="J30" s="25">
        <v>2</v>
      </c>
      <c r="K30" s="30">
        <v>4.0908161178155038E-2</v>
      </c>
    </row>
    <row r="31" spans="2:11" ht="15" customHeight="1" x14ac:dyDescent="0.25">
      <c r="B31" s="5" t="s">
        <v>198</v>
      </c>
      <c r="C31" s="41">
        <v>15765</v>
      </c>
      <c r="D31" s="37">
        <v>2587</v>
      </c>
      <c r="E31" s="30">
        <v>16.409768474468763</v>
      </c>
      <c r="F31" s="25">
        <v>2102</v>
      </c>
      <c r="G31" s="21">
        <v>13.333333333333334</v>
      </c>
      <c r="H31" s="37">
        <v>465</v>
      </c>
      <c r="I31" s="31">
        <v>2.9495718363463368</v>
      </c>
      <c r="J31" s="25">
        <v>20</v>
      </c>
      <c r="K31" s="30">
        <v>0.12686330478908975</v>
      </c>
    </row>
    <row r="32" spans="2:11" ht="15" customHeight="1" x14ac:dyDescent="0.25">
      <c r="B32" s="5" t="s">
        <v>199</v>
      </c>
      <c r="C32" s="41">
        <v>0</v>
      </c>
      <c r="D32" s="37">
        <v>0</v>
      </c>
      <c r="E32" s="30">
        <v>0</v>
      </c>
      <c r="F32" s="25">
        <v>0</v>
      </c>
      <c r="G32" s="21">
        <v>0</v>
      </c>
      <c r="H32" s="37">
        <v>0</v>
      </c>
      <c r="I32" s="31">
        <v>0</v>
      </c>
      <c r="J32" s="25">
        <v>0</v>
      </c>
      <c r="K32" s="30">
        <v>0</v>
      </c>
    </row>
    <row r="33" spans="2:11" ht="15" customHeight="1" x14ac:dyDescent="0.25">
      <c r="B33" s="5" t="s">
        <v>200</v>
      </c>
      <c r="C33" s="41">
        <v>3072</v>
      </c>
      <c r="D33" s="37">
        <v>449</v>
      </c>
      <c r="E33" s="30">
        <v>14.615885416666666</v>
      </c>
      <c r="F33" s="25">
        <v>355</v>
      </c>
      <c r="G33" s="21">
        <v>11.555989583333332</v>
      </c>
      <c r="H33" s="37">
        <v>94</v>
      </c>
      <c r="I33" s="31">
        <v>3.059895833333333</v>
      </c>
      <c r="J33" s="25">
        <v>0</v>
      </c>
      <c r="K33" s="30">
        <v>0</v>
      </c>
    </row>
    <row r="34" spans="2:11" ht="15" customHeight="1" x14ac:dyDescent="0.25">
      <c r="B34" s="5" t="s">
        <v>201</v>
      </c>
      <c r="C34" s="41">
        <v>3975</v>
      </c>
      <c r="D34" s="37">
        <v>306</v>
      </c>
      <c r="E34" s="30">
        <v>7.698113207547169</v>
      </c>
      <c r="F34" s="25">
        <v>239</v>
      </c>
      <c r="G34" s="21">
        <v>6.0125786163522017</v>
      </c>
      <c r="H34" s="37">
        <v>67</v>
      </c>
      <c r="I34" s="31">
        <v>1.6855345911949686</v>
      </c>
      <c r="J34" s="25">
        <v>0</v>
      </c>
      <c r="K34" s="30">
        <v>0</v>
      </c>
    </row>
    <row r="35" spans="2:11" ht="15" customHeight="1" thickBot="1" x14ac:dyDescent="0.3">
      <c r="B35" s="5" t="s">
        <v>202</v>
      </c>
      <c r="C35" s="41">
        <v>9173</v>
      </c>
      <c r="D35" s="37">
        <v>1645</v>
      </c>
      <c r="E35" s="30">
        <v>17.933064428213235</v>
      </c>
      <c r="F35" s="25">
        <v>1255</v>
      </c>
      <c r="G35" s="21">
        <v>13.681456448272103</v>
      </c>
      <c r="H35" s="37">
        <v>387</v>
      </c>
      <c r="I35" s="31">
        <v>4.2189033031723531</v>
      </c>
      <c r="J35" s="25">
        <v>3</v>
      </c>
      <c r="K35" s="30">
        <v>3.2704676768777932E-2</v>
      </c>
    </row>
    <row r="36" spans="2:11" ht="15" customHeight="1" thickBot="1" x14ac:dyDescent="0.3">
      <c r="B36" s="11" t="s">
        <v>44</v>
      </c>
      <c r="C36" s="42">
        <f>SUM(C7:C35)</f>
        <v>66917</v>
      </c>
      <c r="D36" s="39">
        <f>SUM(D7:D35)</f>
        <v>10436</v>
      </c>
      <c r="E36" s="34">
        <f>D36/C36*100</f>
        <v>15.595439126081564</v>
      </c>
      <c r="F36" s="27">
        <f>SUM(F7:F35)</f>
        <v>8080</v>
      </c>
      <c r="G36" s="23">
        <f>F36/C36*100</f>
        <v>12.074659653002975</v>
      </c>
      <c r="H36" s="39">
        <f>SUM(H7:H35)</f>
        <v>2313</v>
      </c>
      <c r="I36" s="35">
        <f>H36/C36*100</f>
        <v>3.4565207645291931</v>
      </c>
      <c r="J36" s="27">
        <f>SUM(J7:J35)</f>
        <v>43</v>
      </c>
      <c r="K36" s="34">
        <f>J36/C36*100</f>
        <v>6.4258708549397012E-2</v>
      </c>
    </row>
    <row r="37" spans="2:11" ht="15" customHeight="1" x14ac:dyDescent="0.25">
      <c r="B37" s="2" t="str">
        <f>_xlfn.CONCAT("Fuente: Sistema de Información SIEN - HIS, ",RIGHT(INICIO!C8,4),".")</f>
        <v>Fuente: Sistema de Información SIEN - HIS, 2025.</v>
      </c>
    </row>
    <row r="38" spans="2:11" ht="15" customHeight="1" x14ac:dyDescent="0.25">
      <c r="B38" s="2" t="s">
        <v>68</v>
      </c>
    </row>
  </sheetData>
  <sortState xmlns:xlrd2="http://schemas.microsoft.com/office/spreadsheetml/2017/richdata2" ref="B7:K35">
    <sortCondition ref="B7:B35"/>
  </sortState>
  <mergeCells count="8">
    <mergeCell ref="B2:K2"/>
    <mergeCell ref="B3:K3"/>
    <mergeCell ref="B5:B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0070C0"/>
  </sheetPr>
  <dimension ref="B2:N95"/>
  <sheetViews>
    <sheetView showGridLines="0" tabSelected="1" topLeftCell="A3" workbookViewId="0">
      <selection activeCell="B7" sqref="B7:N90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4" width="12.7109375" style="1" customWidth="1"/>
    <col min="15" max="16384" width="11.42578125" style="1"/>
  </cols>
  <sheetData>
    <row r="2" spans="2:14" ht="84.95" customHeight="1" x14ac:dyDescent="0.25">
      <c r="B2" s="89" t="s">
        <v>66</v>
      </c>
      <c r="C2" s="89"/>
      <c r="D2" s="89"/>
      <c r="E2" s="89"/>
      <c r="F2" s="102"/>
      <c r="G2" s="102"/>
      <c r="H2" s="102"/>
      <c r="I2" s="102"/>
      <c r="J2" s="102"/>
      <c r="K2" s="102"/>
      <c r="L2" s="102"/>
      <c r="M2" s="102"/>
      <c r="N2" s="102"/>
    </row>
    <row r="3" spans="2:14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15" customHeight="1" thickBot="1" x14ac:dyDescent="0.3"/>
    <row r="5" spans="2:14" ht="15" customHeight="1" thickBot="1" x14ac:dyDescent="0.3">
      <c r="B5" s="92" t="s">
        <v>0</v>
      </c>
      <c r="C5" s="92" t="s">
        <v>5</v>
      </c>
      <c r="D5" s="101" t="s">
        <v>6</v>
      </c>
      <c r="E5" s="92" t="s">
        <v>7</v>
      </c>
      <c r="F5" s="91" t="s">
        <v>10</v>
      </c>
      <c r="G5" s="91" t="s">
        <v>8</v>
      </c>
      <c r="H5" s="91"/>
      <c r="I5" s="94" t="s">
        <v>17</v>
      </c>
      <c r="J5" s="91"/>
      <c r="K5" s="91" t="s">
        <v>18</v>
      </c>
      <c r="L5" s="91"/>
      <c r="M5" s="91" t="s">
        <v>19</v>
      </c>
      <c r="N5" s="91"/>
    </row>
    <row r="6" spans="2:14" ht="15" customHeight="1" thickBot="1" x14ac:dyDescent="0.3">
      <c r="B6" s="92"/>
      <c r="C6" s="92"/>
      <c r="D6" s="101"/>
      <c r="E6" s="92"/>
      <c r="F6" s="91"/>
      <c r="G6" s="9" t="s">
        <v>1</v>
      </c>
      <c r="H6" s="9" t="s">
        <v>2</v>
      </c>
      <c r="I6" s="10" t="s">
        <v>1</v>
      </c>
      <c r="J6" s="9" t="s">
        <v>2</v>
      </c>
      <c r="K6" s="9" t="s">
        <v>1</v>
      </c>
      <c r="L6" s="9" t="s">
        <v>2</v>
      </c>
      <c r="M6" s="9" t="s">
        <v>1</v>
      </c>
      <c r="N6" s="9" t="s">
        <v>2</v>
      </c>
    </row>
    <row r="7" spans="2:14" ht="15" customHeight="1" x14ac:dyDescent="0.25">
      <c r="B7" s="4" t="s">
        <v>178</v>
      </c>
      <c r="C7" s="7" t="s">
        <v>208</v>
      </c>
      <c r="D7" s="6" t="s">
        <v>209</v>
      </c>
      <c r="E7" s="8">
        <v>10205</v>
      </c>
      <c r="F7" s="16">
        <v>5490</v>
      </c>
      <c r="G7" s="26">
        <v>646</v>
      </c>
      <c r="H7" s="32">
        <v>11.766848816029144</v>
      </c>
      <c r="I7" s="26">
        <v>515</v>
      </c>
      <c r="J7" s="22">
        <v>9.3806921675774131</v>
      </c>
      <c r="K7" s="36">
        <v>128</v>
      </c>
      <c r="L7" s="29">
        <v>2.3315118397085612</v>
      </c>
      <c r="M7" s="26">
        <v>3</v>
      </c>
      <c r="N7" s="32">
        <v>5.4644808743169397E-2</v>
      </c>
    </row>
    <row r="8" spans="2:14" ht="15" customHeight="1" x14ac:dyDescent="0.25">
      <c r="B8" s="5" t="s">
        <v>178</v>
      </c>
      <c r="C8" s="7" t="s">
        <v>210</v>
      </c>
      <c r="D8" s="7" t="s">
        <v>211</v>
      </c>
      <c r="E8" s="3">
        <v>10402</v>
      </c>
      <c r="F8" s="17">
        <v>1965</v>
      </c>
      <c r="G8" s="25">
        <v>231</v>
      </c>
      <c r="H8" s="30">
        <v>11.755725190839694</v>
      </c>
      <c r="I8" s="25">
        <v>185</v>
      </c>
      <c r="J8" s="21">
        <v>9.4147582697201013</v>
      </c>
      <c r="K8" s="37">
        <v>46</v>
      </c>
      <c r="L8" s="31">
        <v>2.3409669211195929</v>
      </c>
      <c r="M8" s="25">
        <v>0</v>
      </c>
      <c r="N8" s="30">
        <v>0</v>
      </c>
    </row>
    <row r="9" spans="2:14" ht="15" customHeight="1" x14ac:dyDescent="0.25">
      <c r="B9" s="5" t="s">
        <v>178</v>
      </c>
      <c r="C9" s="7" t="s">
        <v>210</v>
      </c>
      <c r="D9" s="7" t="s">
        <v>212</v>
      </c>
      <c r="E9" s="3">
        <v>10403</v>
      </c>
      <c r="F9" s="17">
        <v>2859</v>
      </c>
      <c r="G9" s="25">
        <v>368</v>
      </c>
      <c r="H9" s="30">
        <v>12.871633438265128</v>
      </c>
      <c r="I9" s="25">
        <v>274</v>
      </c>
      <c r="J9" s="21">
        <v>9.5837705491430576</v>
      </c>
      <c r="K9" s="37">
        <v>92</v>
      </c>
      <c r="L9" s="31">
        <v>3.2179083595662821</v>
      </c>
      <c r="M9" s="25">
        <v>2</v>
      </c>
      <c r="N9" s="30">
        <v>6.9954529555788736E-2</v>
      </c>
    </row>
    <row r="10" spans="2:14" ht="15" customHeight="1" x14ac:dyDescent="0.25">
      <c r="B10" s="5" t="s">
        <v>183</v>
      </c>
      <c r="C10" s="7" t="s">
        <v>213</v>
      </c>
      <c r="D10" s="7" t="s">
        <v>214</v>
      </c>
      <c r="E10" s="3">
        <v>60903</v>
      </c>
      <c r="F10" s="17">
        <v>1265</v>
      </c>
      <c r="G10" s="25">
        <v>133</v>
      </c>
      <c r="H10" s="30">
        <v>10.513833992094861</v>
      </c>
      <c r="I10" s="25">
        <v>117</v>
      </c>
      <c r="J10" s="21">
        <v>9.2490118577075098</v>
      </c>
      <c r="K10" s="37">
        <v>15</v>
      </c>
      <c r="L10" s="31">
        <v>1.1857707509881421</v>
      </c>
      <c r="M10" s="25">
        <v>1</v>
      </c>
      <c r="N10" s="30">
        <v>7.9051383399209488E-2</v>
      </c>
    </row>
    <row r="11" spans="2:14" ht="15" customHeight="1" x14ac:dyDescent="0.25">
      <c r="B11" s="5" t="s">
        <v>183</v>
      </c>
      <c r="C11" s="7" t="s">
        <v>213</v>
      </c>
      <c r="D11" s="7" t="s">
        <v>215</v>
      </c>
      <c r="E11" s="3">
        <v>60905</v>
      </c>
      <c r="F11" s="17">
        <v>812</v>
      </c>
      <c r="G11" s="25">
        <v>60</v>
      </c>
      <c r="H11" s="30">
        <v>7.389162561576355</v>
      </c>
      <c r="I11" s="25">
        <v>52</v>
      </c>
      <c r="J11" s="21">
        <v>6.403940886699508</v>
      </c>
      <c r="K11" s="37">
        <v>7</v>
      </c>
      <c r="L11" s="31">
        <v>0.86206896551724133</v>
      </c>
      <c r="M11" s="25">
        <v>1</v>
      </c>
      <c r="N11" s="30">
        <v>0.12315270935960591</v>
      </c>
    </row>
    <row r="12" spans="2:14" ht="15" customHeight="1" x14ac:dyDescent="0.25">
      <c r="B12" s="5" t="s">
        <v>183</v>
      </c>
      <c r="C12" s="7" t="s">
        <v>213</v>
      </c>
      <c r="D12" s="7" t="s">
        <v>213</v>
      </c>
      <c r="E12" s="3">
        <v>60901</v>
      </c>
      <c r="F12" s="17">
        <v>2425</v>
      </c>
      <c r="G12" s="25">
        <v>364</v>
      </c>
      <c r="H12" s="30">
        <v>15.010309278350514</v>
      </c>
      <c r="I12" s="25">
        <v>302</v>
      </c>
      <c r="J12" s="21">
        <v>12.453608247422681</v>
      </c>
      <c r="K12" s="37">
        <v>62</v>
      </c>
      <c r="L12" s="31">
        <v>2.5567010309278349</v>
      </c>
      <c r="M12" s="25">
        <v>0</v>
      </c>
      <c r="N12" s="30">
        <v>0</v>
      </c>
    </row>
    <row r="13" spans="2:14" ht="15" customHeight="1" x14ac:dyDescent="0.25">
      <c r="B13" s="5" t="s">
        <v>183</v>
      </c>
      <c r="C13" s="7" t="s">
        <v>213</v>
      </c>
      <c r="D13" s="7" t="s">
        <v>216</v>
      </c>
      <c r="E13" s="3">
        <v>60906</v>
      </c>
      <c r="F13" s="17">
        <v>1369</v>
      </c>
      <c r="G13" s="25">
        <v>159</v>
      </c>
      <c r="H13" s="30">
        <v>11.614317019722426</v>
      </c>
      <c r="I13" s="25">
        <v>144</v>
      </c>
      <c r="J13" s="21">
        <v>10.51862673484295</v>
      </c>
      <c r="K13" s="37">
        <v>14</v>
      </c>
      <c r="L13" s="31">
        <v>1.0226442658875092</v>
      </c>
      <c r="M13" s="25">
        <v>1</v>
      </c>
      <c r="N13" s="30">
        <v>7.3046018991964945E-2</v>
      </c>
    </row>
    <row r="14" spans="2:14" ht="15" customHeight="1" x14ac:dyDescent="0.25">
      <c r="B14" s="5" t="s">
        <v>193</v>
      </c>
      <c r="C14" s="7" t="s">
        <v>217</v>
      </c>
      <c r="D14" s="7" t="s">
        <v>218</v>
      </c>
      <c r="E14" s="3">
        <v>160706</v>
      </c>
      <c r="F14" s="58">
        <v>997</v>
      </c>
      <c r="G14" s="59">
        <v>279</v>
      </c>
      <c r="H14" s="62">
        <v>27.983951855566701</v>
      </c>
      <c r="I14" s="59">
        <v>220</v>
      </c>
      <c r="J14" s="60">
        <v>22.066198595787363</v>
      </c>
      <c r="K14" s="61">
        <v>56</v>
      </c>
      <c r="L14" s="63">
        <v>5.6168505516549647</v>
      </c>
      <c r="M14" s="59">
        <v>3</v>
      </c>
      <c r="N14" s="62">
        <v>0.30090270812437309</v>
      </c>
    </row>
    <row r="15" spans="2:14" ht="15" customHeight="1" x14ac:dyDescent="0.25">
      <c r="B15" s="5" t="s">
        <v>193</v>
      </c>
      <c r="C15" s="7" t="s">
        <v>217</v>
      </c>
      <c r="D15" s="7" t="s">
        <v>219</v>
      </c>
      <c r="E15" s="3">
        <v>160704</v>
      </c>
      <c r="F15" s="58">
        <v>992</v>
      </c>
      <c r="G15" s="59">
        <v>158</v>
      </c>
      <c r="H15" s="62">
        <v>15.92741935483871</v>
      </c>
      <c r="I15" s="59">
        <v>129</v>
      </c>
      <c r="J15" s="60">
        <v>13.004032258064516</v>
      </c>
      <c r="K15" s="61">
        <v>29</v>
      </c>
      <c r="L15" s="63">
        <v>2.9233870967741935</v>
      </c>
      <c r="M15" s="59">
        <v>0</v>
      </c>
      <c r="N15" s="62">
        <v>0</v>
      </c>
    </row>
    <row r="16" spans="2:14" ht="15" customHeight="1" x14ac:dyDescent="0.25">
      <c r="B16" s="5" t="s">
        <v>193</v>
      </c>
      <c r="C16" s="7" t="s">
        <v>193</v>
      </c>
      <c r="D16" s="7" t="s">
        <v>220</v>
      </c>
      <c r="E16" s="3">
        <v>160303</v>
      </c>
      <c r="F16" s="58">
        <v>539</v>
      </c>
      <c r="G16" s="59">
        <v>117</v>
      </c>
      <c r="H16" s="62">
        <v>21.706864564007422</v>
      </c>
      <c r="I16" s="59">
        <v>82</v>
      </c>
      <c r="J16" s="60">
        <v>15.213358070500927</v>
      </c>
      <c r="K16" s="61">
        <v>34</v>
      </c>
      <c r="L16" s="63">
        <v>6.3079777365491658</v>
      </c>
      <c r="M16" s="59">
        <v>1</v>
      </c>
      <c r="N16" s="62">
        <v>0.1855287569573284</v>
      </c>
    </row>
    <row r="17" spans="2:14" ht="15" customHeight="1" x14ac:dyDescent="0.25">
      <c r="B17" s="5" t="s">
        <v>193</v>
      </c>
      <c r="C17" s="7" t="s">
        <v>193</v>
      </c>
      <c r="D17" s="7" t="s">
        <v>221</v>
      </c>
      <c r="E17" s="3">
        <v>160304</v>
      </c>
      <c r="F17" s="58">
        <v>495</v>
      </c>
      <c r="G17" s="59">
        <v>153</v>
      </c>
      <c r="H17" s="62">
        <v>30.909090909090907</v>
      </c>
      <c r="I17" s="59">
        <v>94</v>
      </c>
      <c r="J17" s="60">
        <v>18.98989898989899</v>
      </c>
      <c r="K17" s="61">
        <v>58</v>
      </c>
      <c r="L17" s="63">
        <v>11.717171717171718</v>
      </c>
      <c r="M17" s="59">
        <v>1</v>
      </c>
      <c r="N17" s="62">
        <v>0.20202020202020202</v>
      </c>
    </row>
    <row r="18" spans="2:14" ht="15" customHeight="1" x14ac:dyDescent="0.25">
      <c r="B18" s="5" t="s">
        <v>193</v>
      </c>
      <c r="C18" s="7" t="s">
        <v>222</v>
      </c>
      <c r="D18" s="7" t="s">
        <v>223</v>
      </c>
      <c r="E18" s="3">
        <v>160401</v>
      </c>
      <c r="F18" s="58">
        <v>1250</v>
      </c>
      <c r="G18" s="59">
        <v>231</v>
      </c>
      <c r="H18" s="62">
        <v>18.48</v>
      </c>
      <c r="I18" s="59">
        <v>170</v>
      </c>
      <c r="J18" s="60">
        <v>13.600000000000001</v>
      </c>
      <c r="K18" s="61">
        <v>61</v>
      </c>
      <c r="L18" s="63">
        <v>4.88</v>
      </c>
      <c r="M18" s="59">
        <v>0</v>
      </c>
      <c r="N18" s="62">
        <v>0</v>
      </c>
    </row>
    <row r="19" spans="2:14" ht="15" customHeight="1" x14ac:dyDescent="0.25">
      <c r="B19" s="5" t="s">
        <v>193</v>
      </c>
      <c r="C19" s="7" t="s">
        <v>222</v>
      </c>
      <c r="D19" s="7" t="s">
        <v>224</v>
      </c>
      <c r="E19" s="3">
        <v>160403</v>
      </c>
      <c r="F19" s="58">
        <v>691</v>
      </c>
      <c r="G19" s="59">
        <v>172</v>
      </c>
      <c r="H19" s="62">
        <v>24.891461649782922</v>
      </c>
      <c r="I19" s="59">
        <v>124</v>
      </c>
      <c r="J19" s="60">
        <v>17.945007235890014</v>
      </c>
      <c r="K19" s="61">
        <v>48</v>
      </c>
      <c r="L19" s="63">
        <v>6.9464544138929094</v>
      </c>
      <c r="M19" s="59">
        <v>0</v>
      </c>
      <c r="N19" s="62">
        <v>0</v>
      </c>
    </row>
    <row r="20" spans="2:14" ht="15" customHeight="1" x14ac:dyDescent="0.25">
      <c r="B20" s="5" t="s">
        <v>193</v>
      </c>
      <c r="C20" s="7" t="s">
        <v>225</v>
      </c>
      <c r="D20" s="7" t="s">
        <v>226</v>
      </c>
      <c r="E20" s="3">
        <v>160107</v>
      </c>
      <c r="F20" s="58">
        <v>1272</v>
      </c>
      <c r="G20" s="59">
        <v>188</v>
      </c>
      <c r="H20" s="62">
        <v>14.779874213836477</v>
      </c>
      <c r="I20" s="59">
        <v>150</v>
      </c>
      <c r="J20" s="60">
        <v>11.79245283018868</v>
      </c>
      <c r="K20" s="61">
        <v>34</v>
      </c>
      <c r="L20" s="63">
        <v>2.6729559748427674</v>
      </c>
      <c r="M20" s="59">
        <v>4</v>
      </c>
      <c r="N20" s="62">
        <v>0.31446540880503149</v>
      </c>
    </row>
    <row r="21" spans="2:14" ht="15" customHeight="1" x14ac:dyDescent="0.25">
      <c r="B21" s="5" t="s">
        <v>193</v>
      </c>
      <c r="C21" s="7" t="s">
        <v>225</v>
      </c>
      <c r="D21" s="7" t="s">
        <v>227</v>
      </c>
      <c r="E21" s="3">
        <v>160110</v>
      </c>
      <c r="F21" s="58">
        <v>713</v>
      </c>
      <c r="G21" s="59">
        <v>52</v>
      </c>
      <c r="H21" s="62">
        <v>7.2931276297335206</v>
      </c>
      <c r="I21" s="59">
        <v>45</v>
      </c>
      <c r="J21" s="60">
        <v>6.3113604488078536</v>
      </c>
      <c r="K21" s="61">
        <v>7</v>
      </c>
      <c r="L21" s="63">
        <v>0.98176718092566617</v>
      </c>
      <c r="M21" s="59">
        <v>0</v>
      </c>
      <c r="N21" s="62">
        <v>0</v>
      </c>
    </row>
    <row r="22" spans="2:14" ht="15" customHeight="1" x14ac:dyDescent="0.25">
      <c r="B22" s="5" t="s">
        <v>193</v>
      </c>
      <c r="C22" s="7" t="s">
        <v>228</v>
      </c>
      <c r="D22" s="7" t="s">
        <v>228</v>
      </c>
      <c r="E22" s="3">
        <v>160801</v>
      </c>
      <c r="F22" s="58">
        <v>315</v>
      </c>
      <c r="G22" s="59">
        <v>27</v>
      </c>
      <c r="H22" s="62">
        <v>8.5714285714285712</v>
      </c>
      <c r="I22" s="59">
        <v>25</v>
      </c>
      <c r="J22" s="60">
        <v>7.9365079365079358</v>
      </c>
      <c r="K22" s="61">
        <v>2</v>
      </c>
      <c r="L22" s="63">
        <v>0.63492063492063489</v>
      </c>
      <c r="M22" s="59">
        <v>0</v>
      </c>
      <c r="N22" s="62">
        <v>0</v>
      </c>
    </row>
    <row r="23" spans="2:14" ht="15" customHeight="1" x14ac:dyDescent="0.25">
      <c r="B23" s="5" t="s">
        <v>193</v>
      </c>
      <c r="C23" s="7" t="s">
        <v>228</v>
      </c>
      <c r="D23" s="7" t="s">
        <v>229</v>
      </c>
      <c r="E23" s="3">
        <v>160802</v>
      </c>
      <c r="F23" s="58">
        <v>34</v>
      </c>
      <c r="G23" s="59">
        <v>9</v>
      </c>
      <c r="H23" s="62">
        <v>26.47058823529412</v>
      </c>
      <c r="I23" s="59">
        <v>9</v>
      </c>
      <c r="J23" s="60">
        <v>26.47058823529412</v>
      </c>
      <c r="K23" s="61">
        <v>0</v>
      </c>
      <c r="L23" s="63">
        <v>0</v>
      </c>
      <c r="M23" s="59">
        <v>0</v>
      </c>
      <c r="N23" s="62">
        <v>0</v>
      </c>
    </row>
    <row r="24" spans="2:14" ht="15" customHeight="1" x14ac:dyDescent="0.25">
      <c r="B24" s="5" t="s">
        <v>193</v>
      </c>
      <c r="C24" s="7" t="s">
        <v>228</v>
      </c>
      <c r="D24" s="7" t="s">
        <v>230</v>
      </c>
      <c r="E24" s="3">
        <v>160803</v>
      </c>
      <c r="F24" s="58">
        <v>197</v>
      </c>
      <c r="G24" s="59">
        <v>72</v>
      </c>
      <c r="H24" s="62">
        <v>36.548223350253807</v>
      </c>
      <c r="I24" s="59">
        <v>41</v>
      </c>
      <c r="J24" s="60">
        <v>20.812182741116754</v>
      </c>
      <c r="K24" s="61">
        <v>31</v>
      </c>
      <c r="L24" s="63">
        <v>15.736040609137056</v>
      </c>
      <c r="M24" s="59">
        <v>0</v>
      </c>
      <c r="N24" s="62">
        <v>0</v>
      </c>
    </row>
    <row r="25" spans="2:14" ht="15" customHeight="1" x14ac:dyDescent="0.25">
      <c r="B25" s="5" t="s">
        <v>193</v>
      </c>
      <c r="C25" s="7" t="s">
        <v>228</v>
      </c>
      <c r="D25" s="7" t="s">
        <v>231</v>
      </c>
      <c r="E25" s="3">
        <v>160804</v>
      </c>
      <c r="F25" s="58">
        <v>101</v>
      </c>
      <c r="G25" s="59">
        <v>7</v>
      </c>
      <c r="H25" s="62">
        <v>6.9306930693069315</v>
      </c>
      <c r="I25" s="59">
        <v>4</v>
      </c>
      <c r="J25" s="60">
        <v>3.9603960396039604</v>
      </c>
      <c r="K25" s="61">
        <v>3</v>
      </c>
      <c r="L25" s="63">
        <v>2.9702970297029703</v>
      </c>
      <c r="M25" s="59">
        <v>0</v>
      </c>
      <c r="N25" s="62">
        <v>0</v>
      </c>
    </row>
    <row r="26" spans="2:14" ht="15" customHeight="1" x14ac:dyDescent="0.25">
      <c r="B26" s="5" t="s">
        <v>193</v>
      </c>
      <c r="C26" s="7" t="s">
        <v>232</v>
      </c>
      <c r="D26" s="7" t="s">
        <v>234</v>
      </c>
      <c r="E26" s="3">
        <v>160511</v>
      </c>
      <c r="F26" s="58">
        <v>198</v>
      </c>
      <c r="G26" s="59">
        <v>48</v>
      </c>
      <c r="H26" s="62">
        <v>24.242424242424242</v>
      </c>
      <c r="I26" s="59">
        <v>34</v>
      </c>
      <c r="J26" s="60">
        <v>17.171717171717169</v>
      </c>
      <c r="K26" s="61">
        <v>14</v>
      </c>
      <c r="L26" s="63">
        <v>7.0707070707070701</v>
      </c>
      <c r="M26" s="59">
        <v>0</v>
      </c>
      <c r="N26" s="62">
        <v>0</v>
      </c>
    </row>
    <row r="27" spans="2:14" ht="15" customHeight="1" x14ac:dyDescent="0.25">
      <c r="B27" s="5" t="s">
        <v>194</v>
      </c>
      <c r="C27" s="7" t="s">
        <v>235</v>
      </c>
      <c r="D27" s="7" t="s">
        <v>236</v>
      </c>
      <c r="E27" s="3">
        <v>170302</v>
      </c>
      <c r="F27" s="58">
        <v>399</v>
      </c>
      <c r="G27" s="59">
        <v>95</v>
      </c>
      <c r="H27" s="62">
        <v>23.809523809523807</v>
      </c>
      <c r="I27" s="59">
        <v>71</v>
      </c>
      <c r="J27" s="60">
        <v>17.794486215538846</v>
      </c>
      <c r="K27" s="61">
        <v>24</v>
      </c>
      <c r="L27" s="63">
        <v>6.0150375939849621</v>
      </c>
      <c r="M27" s="59">
        <v>0</v>
      </c>
      <c r="N27" s="62">
        <v>0</v>
      </c>
    </row>
    <row r="28" spans="2:14" ht="15" customHeight="1" x14ac:dyDescent="0.25">
      <c r="B28" s="5" t="s">
        <v>194</v>
      </c>
      <c r="C28" s="7" t="s">
        <v>235</v>
      </c>
      <c r="D28" s="7" t="s">
        <v>237</v>
      </c>
      <c r="E28" s="3">
        <v>170301</v>
      </c>
      <c r="F28" s="58">
        <v>76</v>
      </c>
      <c r="G28" s="59">
        <v>8</v>
      </c>
      <c r="H28" s="62">
        <v>10.526315789473683</v>
      </c>
      <c r="I28" s="59">
        <v>6</v>
      </c>
      <c r="J28" s="60">
        <v>7.8947368421052628</v>
      </c>
      <c r="K28" s="61">
        <v>1</v>
      </c>
      <c r="L28" s="63">
        <v>1.3157894736842104</v>
      </c>
      <c r="M28" s="59">
        <v>1</v>
      </c>
      <c r="N28" s="62">
        <v>1.3157894736842104</v>
      </c>
    </row>
    <row r="29" spans="2:14" ht="15" customHeight="1" x14ac:dyDescent="0.25">
      <c r="B29" s="5" t="s">
        <v>194</v>
      </c>
      <c r="C29" s="7" t="s">
        <v>235</v>
      </c>
      <c r="D29" s="7" t="s">
        <v>235</v>
      </c>
      <c r="E29" s="3">
        <v>170303</v>
      </c>
      <c r="F29" s="58">
        <v>326</v>
      </c>
      <c r="G29" s="59">
        <v>43</v>
      </c>
      <c r="H29" s="62">
        <v>13.190184049079754</v>
      </c>
      <c r="I29" s="59">
        <v>33</v>
      </c>
      <c r="J29" s="60">
        <v>10.122699386503067</v>
      </c>
      <c r="K29" s="61">
        <v>10</v>
      </c>
      <c r="L29" s="63">
        <v>3.0674846625766872</v>
      </c>
      <c r="M29" s="59">
        <v>0</v>
      </c>
      <c r="N29" s="62">
        <v>0</v>
      </c>
    </row>
    <row r="30" spans="2:14" ht="15" customHeight="1" x14ac:dyDescent="0.25">
      <c r="B30" s="5" t="s">
        <v>194</v>
      </c>
      <c r="C30" s="7" t="s">
        <v>238</v>
      </c>
      <c r="D30" s="7" t="s">
        <v>239</v>
      </c>
      <c r="E30" s="3">
        <v>170103</v>
      </c>
      <c r="F30" s="58">
        <v>1073</v>
      </c>
      <c r="G30" s="59">
        <v>124</v>
      </c>
      <c r="H30" s="62">
        <v>11.556383970177073</v>
      </c>
      <c r="I30" s="59">
        <v>105</v>
      </c>
      <c r="J30" s="60">
        <v>9.7856477166821989</v>
      </c>
      <c r="K30" s="61">
        <v>19</v>
      </c>
      <c r="L30" s="63">
        <v>1.7707362534948743</v>
      </c>
      <c r="M30" s="59">
        <v>0</v>
      </c>
      <c r="N30" s="62">
        <v>0</v>
      </c>
    </row>
    <row r="31" spans="2:14" ht="15" customHeight="1" x14ac:dyDescent="0.25">
      <c r="B31" s="5" t="s">
        <v>194</v>
      </c>
      <c r="C31" s="7" t="s">
        <v>238</v>
      </c>
      <c r="D31" s="7" t="s">
        <v>238</v>
      </c>
      <c r="E31" s="3">
        <v>170101</v>
      </c>
      <c r="F31" s="58">
        <v>4190</v>
      </c>
      <c r="G31" s="59">
        <v>487</v>
      </c>
      <c r="H31" s="62">
        <v>11.622911694510741</v>
      </c>
      <c r="I31" s="59">
        <v>356</v>
      </c>
      <c r="J31" s="60">
        <v>8.4964200477326965</v>
      </c>
      <c r="K31" s="61">
        <v>131</v>
      </c>
      <c r="L31" s="63">
        <v>3.1264916467780428</v>
      </c>
      <c r="M31" s="59">
        <v>0</v>
      </c>
      <c r="N31" s="62">
        <v>0</v>
      </c>
    </row>
    <row r="32" spans="2:14" ht="15" customHeight="1" x14ac:dyDescent="0.25">
      <c r="B32" s="5" t="s">
        <v>197</v>
      </c>
      <c r="C32" s="7" t="s">
        <v>240</v>
      </c>
      <c r="D32" s="7" t="s">
        <v>240</v>
      </c>
      <c r="E32" s="3">
        <v>200201</v>
      </c>
      <c r="F32" s="58">
        <v>2127</v>
      </c>
      <c r="G32" s="59">
        <v>1039</v>
      </c>
      <c r="H32" s="62">
        <v>48.848142924306536</v>
      </c>
      <c r="I32" s="59">
        <v>680</v>
      </c>
      <c r="J32" s="60">
        <v>31.969910672308416</v>
      </c>
      <c r="K32" s="61">
        <v>357</v>
      </c>
      <c r="L32" s="63">
        <v>16.784203102961918</v>
      </c>
      <c r="M32" s="59">
        <v>2</v>
      </c>
      <c r="N32" s="62">
        <v>9.4029149036201215E-2</v>
      </c>
    </row>
    <row r="33" spans="2:14" ht="15" customHeight="1" x14ac:dyDescent="0.25">
      <c r="B33" s="5" t="s">
        <v>197</v>
      </c>
      <c r="C33" s="7" t="s">
        <v>240</v>
      </c>
      <c r="D33" s="7" t="s">
        <v>241</v>
      </c>
      <c r="E33" s="3">
        <v>200203</v>
      </c>
      <c r="F33" s="58">
        <v>183</v>
      </c>
      <c r="G33" s="59">
        <v>43</v>
      </c>
      <c r="H33" s="62">
        <v>23.497267759562842</v>
      </c>
      <c r="I33" s="59">
        <v>42</v>
      </c>
      <c r="J33" s="60">
        <v>22.950819672131146</v>
      </c>
      <c r="K33" s="61">
        <v>1</v>
      </c>
      <c r="L33" s="63">
        <v>0.54644808743169404</v>
      </c>
      <c r="M33" s="59">
        <v>0</v>
      </c>
      <c r="N33" s="62">
        <v>0</v>
      </c>
    </row>
    <row r="34" spans="2:14" ht="15" customHeight="1" x14ac:dyDescent="0.25">
      <c r="B34" s="5" t="s">
        <v>197</v>
      </c>
      <c r="C34" s="7" t="s">
        <v>240</v>
      </c>
      <c r="D34" s="7" t="s">
        <v>242</v>
      </c>
      <c r="E34" s="3">
        <v>200210</v>
      </c>
      <c r="F34" s="58">
        <v>811</v>
      </c>
      <c r="G34" s="59">
        <v>34</v>
      </c>
      <c r="H34" s="62">
        <v>4.1923551171393338</v>
      </c>
      <c r="I34" s="59">
        <v>26</v>
      </c>
      <c r="J34" s="60">
        <v>3.2059186189889024</v>
      </c>
      <c r="K34" s="61">
        <v>8</v>
      </c>
      <c r="L34" s="63">
        <v>0.98643649815043155</v>
      </c>
      <c r="M34" s="59">
        <v>0</v>
      </c>
      <c r="N34" s="62">
        <v>0</v>
      </c>
    </row>
    <row r="35" spans="2:14" ht="15" customHeight="1" x14ac:dyDescent="0.25">
      <c r="B35" s="5" t="s">
        <v>197</v>
      </c>
      <c r="C35" s="7" t="s">
        <v>243</v>
      </c>
      <c r="D35" s="7" t="s">
        <v>244</v>
      </c>
      <c r="E35" s="3">
        <v>200303</v>
      </c>
      <c r="F35" s="58">
        <v>866</v>
      </c>
      <c r="G35" s="59">
        <v>86</v>
      </c>
      <c r="H35" s="62">
        <v>9.9307159353348737</v>
      </c>
      <c r="I35" s="59">
        <v>81</v>
      </c>
      <c r="J35" s="60">
        <v>9.3533487297921472</v>
      </c>
      <c r="K35" s="61">
        <v>5</v>
      </c>
      <c r="L35" s="63">
        <v>0.57736720554272514</v>
      </c>
      <c r="M35" s="59">
        <v>0</v>
      </c>
      <c r="N35" s="62">
        <v>0</v>
      </c>
    </row>
    <row r="36" spans="2:14" ht="15" customHeight="1" x14ac:dyDescent="0.25">
      <c r="B36" s="5" t="s">
        <v>197</v>
      </c>
      <c r="C36" s="7" t="s">
        <v>245</v>
      </c>
      <c r="D36" s="7" t="s">
        <v>246</v>
      </c>
      <c r="E36" s="3">
        <v>200604</v>
      </c>
      <c r="F36" s="58">
        <v>902</v>
      </c>
      <c r="G36" s="59">
        <v>16</v>
      </c>
      <c r="H36" s="62">
        <v>1.7738359201773837</v>
      </c>
      <c r="I36" s="59">
        <v>13</v>
      </c>
      <c r="J36" s="60">
        <v>1.4412416851441241</v>
      </c>
      <c r="K36" s="61">
        <v>3</v>
      </c>
      <c r="L36" s="63">
        <v>0.33259423503325941</v>
      </c>
      <c r="M36" s="59">
        <v>0</v>
      </c>
      <c r="N36" s="62">
        <v>0</v>
      </c>
    </row>
    <row r="37" spans="2:14" ht="15" customHeight="1" x14ac:dyDescent="0.25">
      <c r="B37" s="5" t="s">
        <v>198</v>
      </c>
      <c r="C37" s="7" t="s">
        <v>247</v>
      </c>
      <c r="D37" s="7" t="s">
        <v>248</v>
      </c>
      <c r="E37" s="3">
        <v>210402</v>
      </c>
      <c r="F37" s="58">
        <v>309</v>
      </c>
      <c r="G37" s="59">
        <v>98</v>
      </c>
      <c r="H37" s="62">
        <v>31.715210355987054</v>
      </c>
      <c r="I37" s="59">
        <v>76</v>
      </c>
      <c r="J37" s="60">
        <v>24.595469255663431</v>
      </c>
      <c r="K37" s="61">
        <v>21</v>
      </c>
      <c r="L37" s="63">
        <v>6.7961165048543686</v>
      </c>
      <c r="M37" s="59">
        <v>1</v>
      </c>
      <c r="N37" s="62">
        <v>0.3236245954692557</v>
      </c>
    </row>
    <row r="38" spans="2:14" ht="15" customHeight="1" x14ac:dyDescent="0.25">
      <c r="B38" s="5" t="s">
        <v>198</v>
      </c>
      <c r="C38" s="7" t="s">
        <v>247</v>
      </c>
      <c r="D38" s="7" t="s">
        <v>249</v>
      </c>
      <c r="E38" s="3">
        <v>210401</v>
      </c>
      <c r="F38" s="58">
        <v>644</v>
      </c>
      <c r="G38" s="59">
        <v>100</v>
      </c>
      <c r="H38" s="62">
        <v>15.527950310559005</v>
      </c>
      <c r="I38" s="59">
        <v>64</v>
      </c>
      <c r="J38" s="60">
        <v>9.9378881987577632</v>
      </c>
      <c r="K38" s="61">
        <v>35</v>
      </c>
      <c r="L38" s="63">
        <v>5.4347826086956523</v>
      </c>
      <c r="M38" s="59">
        <v>1</v>
      </c>
      <c r="N38" s="62">
        <v>0.15527950310559005</v>
      </c>
    </row>
    <row r="39" spans="2:14" ht="15" customHeight="1" x14ac:dyDescent="0.25">
      <c r="B39" s="5" t="s">
        <v>198</v>
      </c>
      <c r="C39" s="7" t="s">
        <v>247</v>
      </c>
      <c r="D39" s="7" t="s">
        <v>250</v>
      </c>
      <c r="E39" s="3">
        <v>210404</v>
      </c>
      <c r="F39" s="58">
        <v>124</v>
      </c>
      <c r="G39" s="59">
        <v>29</v>
      </c>
      <c r="H39" s="62">
        <v>23.387096774193548</v>
      </c>
      <c r="I39" s="59">
        <v>20</v>
      </c>
      <c r="J39" s="60">
        <v>16.129032258064516</v>
      </c>
      <c r="K39" s="61">
        <v>9</v>
      </c>
      <c r="L39" s="63">
        <v>7.2580645161290329</v>
      </c>
      <c r="M39" s="59">
        <v>0</v>
      </c>
      <c r="N39" s="62">
        <v>0</v>
      </c>
    </row>
    <row r="40" spans="2:14" ht="15" customHeight="1" x14ac:dyDescent="0.25">
      <c r="B40" s="5" t="s">
        <v>198</v>
      </c>
      <c r="C40" s="7" t="s">
        <v>247</v>
      </c>
      <c r="D40" s="7" t="s">
        <v>251</v>
      </c>
      <c r="E40" s="3">
        <v>210405</v>
      </c>
      <c r="F40" s="58">
        <v>90</v>
      </c>
      <c r="G40" s="59">
        <v>20</v>
      </c>
      <c r="H40" s="62">
        <v>22.222222222222221</v>
      </c>
      <c r="I40" s="59">
        <v>17</v>
      </c>
      <c r="J40" s="60">
        <v>18.888888888888889</v>
      </c>
      <c r="K40" s="61">
        <v>3</v>
      </c>
      <c r="L40" s="63">
        <v>3.3333333333333335</v>
      </c>
      <c r="M40" s="59">
        <v>0</v>
      </c>
      <c r="N40" s="62">
        <v>0</v>
      </c>
    </row>
    <row r="41" spans="2:14" ht="15" customHeight="1" x14ac:dyDescent="0.25">
      <c r="B41" s="5" t="s">
        <v>198</v>
      </c>
      <c r="C41" s="7" t="s">
        <v>247</v>
      </c>
      <c r="D41" s="7" t="s">
        <v>252</v>
      </c>
      <c r="E41" s="3">
        <v>210406</v>
      </c>
      <c r="F41" s="58">
        <v>338</v>
      </c>
      <c r="G41" s="59">
        <v>28</v>
      </c>
      <c r="H41" s="62">
        <v>8.2840236686390547</v>
      </c>
      <c r="I41" s="59">
        <v>20</v>
      </c>
      <c r="J41" s="60">
        <v>5.9171597633136095</v>
      </c>
      <c r="K41" s="61">
        <v>7</v>
      </c>
      <c r="L41" s="63">
        <v>2.0710059171597637</v>
      </c>
      <c r="M41" s="59">
        <v>1</v>
      </c>
      <c r="N41" s="62">
        <v>0.29585798816568049</v>
      </c>
    </row>
    <row r="42" spans="2:14" ht="15" customHeight="1" x14ac:dyDescent="0.25">
      <c r="B42" s="5" t="s">
        <v>198</v>
      </c>
      <c r="C42" s="7" t="s">
        <v>247</v>
      </c>
      <c r="D42" s="7" t="s">
        <v>253</v>
      </c>
      <c r="E42" s="3">
        <v>210407</v>
      </c>
      <c r="F42" s="58">
        <v>611</v>
      </c>
      <c r="G42" s="59">
        <v>177</v>
      </c>
      <c r="H42" s="62">
        <v>28.968903436988541</v>
      </c>
      <c r="I42" s="59">
        <v>154</v>
      </c>
      <c r="J42" s="60">
        <v>25.20458265139116</v>
      </c>
      <c r="K42" s="61">
        <v>22</v>
      </c>
      <c r="L42" s="63">
        <v>3.6006546644844519</v>
      </c>
      <c r="M42" s="59">
        <v>1</v>
      </c>
      <c r="N42" s="62">
        <v>0.16366612111292964</v>
      </c>
    </row>
    <row r="43" spans="2:14" ht="15" customHeight="1" x14ac:dyDescent="0.25">
      <c r="B43" s="5" t="s">
        <v>198</v>
      </c>
      <c r="C43" s="7" t="s">
        <v>254</v>
      </c>
      <c r="D43" s="7" t="s">
        <v>255</v>
      </c>
      <c r="E43" s="3">
        <v>210502</v>
      </c>
      <c r="F43" s="58">
        <v>25</v>
      </c>
      <c r="G43" s="59">
        <v>1</v>
      </c>
      <c r="H43" s="62">
        <v>4</v>
      </c>
      <c r="I43" s="59">
        <v>1</v>
      </c>
      <c r="J43" s="60">
        <v>4</v>
      </c>
      <c r="K43" s="61">
        <v>0</v>
      </c>
      <c r="L43" s="63">
        <v>0</v>
      </c>
      <c r="M43" s="59">
        <v>0</v>
      </c>
      <c r="N43" s="62">
        <v>0</v>
      </c>
    </row>
    <row r="44" spans="2:14" ht="15" customHeight="1" x14ac:dyDescent="0.25">
      <c r="B44" s="5" t="s">
        <v>198</v>
      </c>
      <c r="C44" s="7" t="s">
        <v>254</v>
      </c>
      <c r="D44" s="7" t="s">
        <v>256</v>
      </c>
      <c r="E44" s="3">
        <v>210501</v>
      </c>
      <c r="F44" s="58">
        <v>1859</v>
      </c>
      <c r="G44" s="59">
        <v>316</v>
      </c>
      <c r="H44" s="62">
        <v>16.998386229155461</v>
      </c>
      <c r="I44" s="59">
        <v>256</v>
      </c>
      <c r="J44" s="60">
        <v>13.770844540075307</v>
      </c>
      <c r="K44" s="61">
        <v>58</v>
      </c>
      <c r="L44" s="63">
        <v>3.1199569661108124</v>
      </c>
      <c r="M44" s="59">
        <v>2</v>
      </c>
      <c r="N44" s="62">
        <v>0.10758472296933834</v>
      </c>
    </row>
    <row r="45" spans="2:14" ht="15" customHeight="1" x14ac:dyDescent="0.25">
      <c r="B45" s="5" t="s">
        <v>198</v>
      </c>
      <c r="C45" s="7" t="s">
        <v>254</v>
      </c>
      <c r="D45" s="7" t="s">
        <v>257</v>
      </c>
      <c r="E45" s="3">
        <v>210503</v>
      </c>
      <c r="F45" s="58">
        <v>269</v>
      </c>
      <c r="G45" s="59">
        <v>16</v>
      </c>
      <c r="H45" s="62">
        <v>5.9479553903345721</v>
      </c>
      <c r="I45" s="59">
        <v>13</v>
      </c>
      <c r="J45" s="60">
        <v>4.8327137546468402</v>
      </c>
      <c r="K45" s="61">
        <v>3</v>
      </c>
      <c r="L45" s="63">
        <v>1.1152416356877324</v>
      </c>
      <c r="M45" s="59">
        <v>0</v>
      </c>
      <c r="N45" s="62">
        <v>0</v>
      </c>
    </row>
    <row r="46" spans="2:14" ht="15" customHeight="1" x14ac:dyDescent="0.25">
      <c r="B46" s="5" t="s">
        <v>198</v>
      </c>
      <c r="C46" s="7" t="s">
        <v>258</v>
      </c>
      <c r="D46" s="7" t="s">
        <v>259</v>
      </c>
      <c r="E46" s="3">
        <v>210602</v>
      </c>
      <c r="F46" s="58">
        <v>148</v>
      </c>
      <c r="G46" s="59">
        <v>11</v>
      </c>
      <c r="H46" s="62">
        <v>7.4324324324324325</v>
      </c>
      <c r="I46" s="59">
        <v>6</v>
      </c>
      <c r="J46" s="60">
        <v>4.0540540540540544</v>
      </c>
      <c r="K46" s="61">
        <v>5</v>
      </c>
      <c r="L46" s="63">
        <v>3.3783783783783785</v>
      </c>
      <c r="M46" s="59">
        <v>0</v>
      </c>
      <c r="N46" s="62">
        <v>0</v>
      </c>
    </row>
    <row r="47" spans="2:14" ht="15" customHeight="1" x14ac:dyDescent="0.25">
      <c r="B47" s="5" t="s">
        <v>198</v>
      </c>
      <c r="C47" s="7" t="s">
        <v>258</v>
      </c>
      <c r="D47" s="7" t="s">
        <v>258</v>
      </c>
      <c r="E47" s="3">
        <v>210601</v>
      </c>
      <c r="F47" s="58">
        <v>816</v>
      </c>
      <c r="G47" s="59">
        <v>187</v>
      </c>
      <c r="H47" s="62">
        <v>22.916666666666664</v>
      </c>
      <c r="I47" s="59">
        <v>129</v>
      </c>
      <c r="J47" s="60">
        <v>15.808823529411764</v>
      </c>
      <c r="K47" s="61">
        <v>55</v>
      </c>
      <c r="L47" s="63">
        <v>6.7401960784313726</v>
      </c>
      <c r="M47" s="59">
        <v>3</v>
      </c>
      <c r="N47" s="62">
        <v>0.36764705882352938</v>
      </c>
    </row>
    <row r="48" spans="2:14" ht="15" customHeight="1" x14ac:dyDescent="0.25">
      <c r="B48" s="5" t="s">
        <v>198</v>
      </c>
      <c r="C48" s="7" t="s">
        <v>258</v>
      </c>
      <c r="D48" s="7" t="s">
        <v>260</v>
      </c>
      <c r="E48" s="3">
        <v>210605</v>
      </c>
      <c r="F48" s="58">
        <v>196</v>
      </c>
      <c r="G48" s="59">
        <v>1</v>
      </c>
      <c r="H48" s="62">
        <v>0.51020408163265307</v>
      </c>
      <c r="I48" s="59">
        <v>1</v>
      </c>
      <c r="J48" s="60">
        <v>0.51020408163265307</v>
      </c>
      <c r="K48" s="61">
        <v>0</v>
      </c>
      <c r="L48" s="63">
        <v>0</v>
      </c>
      <c r="M48" s="59">
        <v>0</v>
      </c>
      <c r="N48" s="62">
        <v>0</v>
      </c>
    </row>
    <row r="49" spans="2:14" ht="15" customHeight="1" x14ac:dyDescent="0.25">
      <c r="B49" s="5" t="s">
        <v>198</v>
      </c>
      <c r="C49" s="7" t="s">
        <v>258</v>
      </c>
      <c r="D49" s="7" t="s">
        <v>261</v>
      </c>
      <c r="E49" s="3">
        <v>210607</v>
      </c>
      <c r="F49" s="58">
        <v>540</v>
      </c>
      <c r="G49" s="59">
        <v>57</v>
      </c>
      <c r="H49" s="62">
        <v>10.555555555555555</v>
      </c>
      <c r="I49" s="59">
        <v>53</v>
      </c>
      <c r="J49" s="60">
        <v>9.8148148148148149</v>
      </c>
      <c r="K49" s="61">
        <v>4</v>
      </c>
      <c r="L49" s="63">
        <v>0.74074074074074081</v>
      </c>
      <c r="M49" s="59">
        <v>0</v>
      </c>
      <c r="N49" s="62">
        <v>0</v>
      </c>
    </row>
    <row r="50" spans="2:14" ht="15" customHeight="1" x14ac:dyDescent="0.25">
      <c r="B50" s="5" t="s">
        <v>198</v>
      </c>
      <c r="C50" s="7" t="s">
        <v>258</v>
      </c>
      <c r="D50" s="7" t="s">
        <v>262</v>
      </c>
      <c r="E50" s="3">
        <v>210608</v>
      </c>
      <c r="F50" s="58">
        <v>207</v>
      </c>
      <c r="G50" s="59">
        <v>12</v>
      </c>
      <c r="H50" s="62">
        <v>5.7971014492753623</v>
      </c>
      <c r="I50" s="59">
        <v>12</v>
      </c>
      <c r="J50" s="60">
        <v>5.7971014492753623</v>
      </c>
      <c r="K50" s="61">
        <v>0</v>
      </c>
      <c r="L50" s="63">
        <v>0</v>
      </c>
      <c r="M50" s="59">
        <v>0</v>
      </c>
      <c r="N50" s="62">
        <v>0</v>
      </c>
    </row>
    <row r="51" spans="2:14" ht="15" customHeight="1" x14ac:dyDescent="0.25">
      <c r="B51" s="5" t="s">
        <v>198</v>
      </c>
      <c r="C51" s="7" t="s">
        <v>263</v>
      </c>
      <c r="D51" s="7" t="s">
        <v>264</v>
      </c>
      <c r="E51" s="3">
        <v>210902</v>
      </c>
      <c r="F51" s="58">
        <v>101</v>
      </c>
      <c r="G51" s="59">
        <v>15</v>
      </c>
      <c r="H51" s="62">
        <v>14.85148514851485</v>
      </c>
      <c r="I51" s="59">
        <v>12</v>
      </c>
      <c r="J51" s="60">
        <v>11.881188118811881</v>
      </c>
      <c r="K51" s="61">
        <v>3</v>
      </c>
      <c r="L51" s="63">
        <v>2.9702970297029703</v>
      </c>
      <c r="M51" s="59">
        <v>0</v>
      </c>
      <c r="N51" s="62">
        <v>0</v>
      </c>
    </row>
    <row r="52" spans="2:14" ht="15" customHeight="1" x14ac:dyDescent="0.25">
      <c r="B52" s="5" t="s">
        <v>198</v>
      </c>
      <c r="C52" s="7" t="s">
        <v>263</v>
      </c>
      <c r="D52" s="7" t="s">
        <v>265</v>
      </c>
      <c r="E52" s="3">
        <v>210903</v>
      </c>
      <c r="F52" s="58">
        <v>126</v>
      </c>
      <c r="G52" s="59">
        <v>7</v>
      </c>
      <c r="H52" s="62">
        <v>5.5555555555555554</v>
      </c>
      <c r="I52" s="59">
        <v>7</v>
      </c>
      <c r="J52" s="60">
        <v>5.5555555555555554</v>
      </c>
      <c r="K52" s="61">
        <v>0</v>
      </c>
      <c r="L52" s="63">
        <v>0</v>
      </c>
      <c r="M52" s="59">
        <v>0</v>
      </c>
      <c r="N52" s="62">
        <v>0</v>
      </c>
    </row>
    <row r="53" spans="2:14" ht="15" customHeight="1" x14ac:dyDescent="0.25">
      <c r="B53" s="5" t="s">
        <v>198</v>
      </c>
      <c r="C53" s="7" t="s">
        <v>263</v>
      </c>
      <c r="D53" s="7" t="s">
        <v>263</v>
      </c>
      <c r="E53" s="3">
        <v>210901</v>
      </c>
      <c r="F53" s="17">
        <v>493</v>
      </c>
      <c r="G53" s="25">
        <v>25</v>
      </c>
      <c r="H53" s="30">
        <v>5.0709939148073024</v>
      </c>
      <c r="I53" s="25">
        <v>24</v>
      </c>
      <c r="J53" s="21">
        <v>4.8681541582150096</v>
      </c>
      <c r="K53" s="37">
        <v>1</v>
      </c>
      <c r="L53" s="31">
        <v>0.20283975659229209</v>
      </c>
      <c r="M53" s="25">
        <v>0</v>
      </c>
      <c r="N53" s="30">
        <v>0</v>
      </c>
    </row>
    <row r="54" spans="2:14" ht="15" customHeight="1" x14ac:dyDescent="0.25">
      <c r="B54" s="5" t="s">
        <v>198</v>
      </c>
      <c r="C54" s="7" t="s">
        <v>263</v>
      </c>
      <c r="D54" s="7" t="s">
        <v>266</v>
      </c>
      <c r="E54" s="3">
        <v>210904</v>
      </c>
      <c r="F54" s="17">
        <v>105</v>
      </c>
      <c r="G54" s="25">
        <v>11</v>
      </c>
      <c r="H54" s="30">
        <v>10.476190476190476</v>
      </c>
      <c r="I54" s="25">
        <v>10</v>
      </c>
      <c r="J54" s="21">
        <v>9.5238095238095237</v>
      </c>
      <c r="K54" s="37">
        <v>1</v>
      </c>
      <c r="L54" s="31">
        <v>0.95238095238095244</v>
      </c>
      <c r="M54" s="25">
        <v>0</v>
      </c>
      <c r="N54" s="30">
        <v>0</v>
      </c>
    </row>
    <row r="55" spans="2:14" ht="15" customHeight="1" x14ac:dyDescent="0.25">
      <c r="B55" s="5" t="s">
        <v>198</v>
      </c>
      <c r="C55" s="7" t="s">
        <v>198</v>
      </c>
      <c r="D55" s="7" t="s">
        <v>267</v>
      </c>
      <c r="E55" s="3">
        <v>210102</v>
      </c>
      <c r="F55" s="17">
        <v>794</v>
      </c>
      <c r="G55" s="25">
        <v>75</v>
      </c>
      <c r="H55" s="30">
        <v>9.4458438287153648</v>
      </c>
      <c r="I55" s="25">
        <v>63</v>
      </c>
      <c r="J55" s="21">
        <v>7.934508816120907</v>
      </c>
      <c r="K55" s="37">
        <v>10</v>
      </c>
      <c r="L55" s="31">
        <v>1.2594458438287155</v>
      </c>
      <c r="M55" s="25">
        <v>2</v>
      </c>
      <c r="N55" s="30">
        <v>0.25188916876574308</v>
      </c>
    </row>
    <row r="56" spans="2:14" ht="15" customHeight="1" x14ac:dyDescent="0.25">
      <c r="B56" s="5" t="s">
        <v>198</v>
      </c>
      <c r="C56" s="7" t="s">
        <v>198</v>
      </c>
      <c r="D56" s="7" t="s">
        <v>268</v>
      </c>
      <c r="E56" s="3">
        <v>210103</v>
      </c>
      <c r="F56" s="17">
        <v>162</v>
      </c>
      <c r="G56" s="25">
        <v>29</v>
      </c>
      <c r="H56" s="30">
        <v>17.901234567901234</v>
      </c>
      <c r="I56" s="25">
        <v>25</v>
      </c>
      <c r="J56" s="21">
        <v>15.432098765432098</v>
      </c>
      <c r="K56" s="37">
        <v>4</v>
      </c>
      <c r="L56" s="31">
        <v>2.4691358024691357</v>
      </c>
      <c r="M56" s="25">
        <v>0</v>
      </c>
      <c r="N56" s="30">
        <v>0</v>
      </c>
    </row>
    <row r="57" spans="2:14" ht="15" customHeight="1" x14ac:dyDescent="0.25">
      <c r="B57" s="5" t="s">
        <v>198</v>
      </c>
      <c r="C57" s="7" t="s">
        <v>198</v>
      </c>
      <c r="D57" s="7" t="s">
        <v>269</v>
      </c>
      <c r="E57" s="3">
        <v>210105</v>
      </c>
      <c r="F57" s="17">
        <v>311</v>
      </c>
      <c r="G57" s="25">
        <v>48</v>
      </c>
      <c r="H57" s="30">
        <v>15.434083601286176</v>
      </c>
      <c r="I57" s="25">
        <v>35</v>
      </c>
      <c r="J57" s="21">
        <v>11.254019292604502</v>
      </c>
      <c r="K57" s="37">
        <v>11</v>
      </c>
      <c r="L57" s="31">
        <v>3.536977491961415</v>
      </c>
      <c r="M57" s="25">
        <v>2</v>
      </c>
      <c r="N57" s="30">
        <v>0.64308681672025725</v>
      </c>
    </row>
    <row r="58" spans="2:14" ht="15" customHeight="1" x14ac:dyDescent="0.25">
      <c r="B58" s="5" t="s">
        <v>198</v>
      </c>
      <c r="C58" s="7" t="s">
        <v>198</v>
      </c>
      <c r="D58" s="7" t="s">
        <v>247</v>
      </c>
      <c r="E58" s="3">
        <v>210106</v>
      </c>
      <c r="F58" s="17">
        <v>247</v>
      </c>
      <c r="G58" s="25">
        <v>45</v>
      </c>
      <c r="H58" s="30">
        <v>18.218623481781375</v>
      </c>
      <c r="I58" s="25">
        <v>32</v>
      </c>
      <c r="J58" s="21">
        <v>12.955465587044534</v>
      </c>
      <c r="K58" s="37">
        <v>13</v>
      </c>
      <c r="L58" s="31">
        <v>5.2631578947368416</v>
      </c>
      <c r="M58" s="25">
        <v>0</v>
      </c>
      <c r="N58" s="30">
        <v>0</v>
      </c>
    </row>
    <row r="59" spans="2:14" ht="15" customHeight="1" x14ac:dyDescent="0.25">
      <c r="B59" s="5" t="s">
        <v>198</v>
      </c>
      <c r="C59" s="7" t="s">
        <v>198</v>
      </c>
      <c r="D59" s="7" t="s">
        <v>270</v>
      </c>
      <c r="E59" s="3">
        <v>210107</v>
      </c>
      <c r="F59" s="17">
        <v>374</v>
      </c>
      <c r="G59" s="25">
        <v>88</v>
      </c>
      <c r="H59" s="30">
        <v>23.52941176470588</v>
      </c>
      <c r="I59" s="25">
        <v>80</v>
      </c>
      <c r="J59" s="21">
        <v>21.390374331550802</v>
      </c>
      <c r="K59" s="37">
        <v>7</v>
      </c>
      <c r="L59" s="31">
        <v>1.8716577540106951</v>
      </c>
      <c r="M59" s="25">
        <v>1</v>
      </c>
      <c r="N59" s="30">
        <v>0.26737967914438499</v>
      </c>
    </row>
    <row r="60" spans="2:14" ht="15" customHeight="1" x14ac:dyDescent="0.25">
      <c r="B60" s="5" t="s">
        <v>198</v>
      </c>
      <c r="C60" s="7" t="s">
        <v>198</v>
      </c>
      <c r="D60" s="7" t="s">
        <v>271</v>
      </c>
      <c r="E60" s="3">
        <v>210108</v>
      </c>
      <c r="F60" s="17">
        <v>150</v>
      </c>
      <c r="G60" s="25">
        <v>45</v>
      </c>
      <c r="H60" s="30">
        <v>30</v>
      </c>
      <c r="I60" s="25">
        <v>33</v>
      </c>
      <c r="J60" s="21">
        <v>22</v>
      </c>
      <c r="K60" s="37">
        <v>11</v>
      </c>
      <c r="L60" s="31">
        <v>7.333333333333333</v>
      </c>
      <c r="M60" s="25">
        <v>1</v>
      </c>
      <c r="N60" s="30">
        <v>0.66666666666666674</v>
      </c>
    </row>
    <row r="61" spans="2:14" ht="15" customHeight="1" x14ac:dyDescent="0.25">
      <c r="B61" s="5" t="s">
        <v>198</v>
      </c>
      <c r="C61" s="7" t="s">
        <v>198</v>
      </c>
      <c r="D61" s="7" t="s">
        <v>272</v>
      </c>
      <c r="E61" s="3">
        <v>210110</v>
      </c>
      <c r="F61" s="17">
        <v>216</v>
      </c>
      <c r="G61" s="25">
        <v>19</v>
      </c>
      <c r="H61" s="30">
        <v>8.7962962962962958</v>
      </c>
      <c r="I61" s="25">
        <v>15</v>
      </c>
      <c r="J61" s="21">
        <v>6.9444444444444446</v>
      </c>
      <c r="K61" s="37">
        <v>4</v>
      </c>
      <c r="L61" s="31">
        <v>1.8518518518518516</v>
      </c>
      <c r="M61" s="25">
        <v>0</v>
      </c>
      <c r="N61" s="30">
        <v>0</v>
      </c>
    </row>
    <row r="62" spans="2:14" ht="15" customHeight="1" x14ac:dyDescent="0.25">
      <c r="B62" s="5" t="s">
        <v>198</v>
      </c>
      <c r="C62" s="7" t="s">
        <v>198</v>
      </c>
      <c r="D62" s="7" t="s">
        <v>273</v>
      </c>
      <c r="E62" s="3">
        <v>210112</v>
      </c>
      <c r="F62" s="17">
        <v>212</v>
      </c>
      <c r="G62" s="25">
        <v>34</v>
      </c>
      <c r="H62" s="30">
        <v>16.037735849056602</v>
      </c>
      <c r="I62" s="25">
        <v>32</v>
      </c>
      <c r="J62" s="21">
        <v>15.09433962264151</v>
      </c>
      <c r="K62" s="37">
        <v>2</v>
      </c>
      <c r="L62" s="31">
        <v>0.94339622641509435</v>
      </c>
      <c r="M62" s="25">
        <v>0</v>
      </c>
      <c r="N62" s="30">
        <v>0</v>
      </c>
    </row>
    <row r="63" spans="2:14" ht="15" customHeight="1" x14ac:dyDescent="0.25">
      <c r="B63" s="5" t="s">
        <v>198</v>
      </c>
      <c r="C63" s="7" t="s">
        <v>198</v>
      </c>
      <c r="D63" s="7" t="s">
        <v>198</v>
      </c>
      <c r="E63" s="3">
        <v>210101</v>
      </c>
      <c r="F63" s="17">
        <v>3956</v>
      </c>
      <c r="G63" s="25">
        <v>535</v>
      </c>
      <c r="H63" s="30">
        <v>13.523761375126389</v>
      </c>
      <c r="I63" s="25">
        <v>478</v>
      </c>
      <c r="J63" s="21">
        <v>12.082912032355916</v>
      </c>
      <c r="K63" s="37">
        <v>54</v>
      </c>
      <c r="L63" s="31">
        <v>1.3650151668351871</v>
      </c>
      <c r="M63" s="25">
        <v>3</v>
      </c>
      <c r="N63" s="30">
        <v>7.583417593528817E-2</v>
      </c>
    </row>
    <row r="64" spans="2:14" ht="15" customHeight="1" x14ac:dyDescent="0.25">
      <c r="B64" s="5" t="s">
        <v>198</v>
      </c>
      <c r="C64" s="7" t="s">
        <v>274</v>
      </c>
      <c r="D64" s="7" t="s">
        <v>275</v>
      </c>
      <c r="E64" s="3">
        <v>211002</v>
      </c>
      <c r="F64" s="17">
        <v>149</v>
      </c>
      <c r="G64" s="25">
        <v>20</v>
      </c>
      <c r="H64" s="30">
        <v>13.422818791946309</v>
      </c>
      <c r="I64" s="25">
        <v>18</v>
      </c>
      <c r="J64" s="21">
        <v>12.080536912751679</v>
      </c>
      <c r="K64" s="37">
        <v>1</v>
      </c>
      <c r="L64" s="31">
        <v>0.67114093959731547</v>
      </c>
      <c r="M64" s="25">
        <v>1</v>
      </c>
      <c r="N64" s="30">
        <v>0.67114093959731547</v>
      </c>
    </row>
    <row r="65" spans="2:14" ht="15" customHeight="1" x14ac:dyDescent="0.25">
      <c r="B65" s="5" t="s">
        <v>198</v>
      </c>
      <c r="C65" s="7" t="s">
        <v>274</v>
      </c>
      <c r="D65" s="7" t="s">
        <v>276</v>
      </c>
      <c r="E65" s="3">
        <v>211005</v>
      </c>
      <c r="F65" s="17">
        <v>82</v>
      </c>
      <c r="G65" s="25">
        <v>0</v>
      </c>
      <c r="H65" s="30">
        <v>0</v>
      </c>
      <c r="I65" s="25">
        <v>0</v>
      </c>
      <c r="J65" s="21">
        <v>0</v>
      </c>
      <c r="K65" s="37">
        <v>0</v>
      </c>
      <c r="L65" s="31">
        <v>0</v>
      </c>
      <c r="M65" s="25">
        <v>0</v>
      </c>
      <c r="N65" s="30">
        <v>0</v>
      </c>
    </row>
    <row r="66" spans="2:14" ht="15" customHeight="1" x14ac:dyDescent="0.25">
      <c r="B66" s="5" t="s">
        <v>198</v>
      </c>
      <c r="C66" s="7" t="s">
        <v>277</v>
      </c>
      <c r="D66" s="7" t="s">
        <v>278</v>
      </c>
      <c r="E66" s="3">
        <v>211207</v>
      </c>
      <c r="F66" s="17">
        <v>161</v>
      </c>
      <c r="G66" s="25">
        <v>68</v>
      </c>
      <c r="H66" s="30">
        <v>42.236024844720497</v>
      </c>
      <c r="I66" s="25">
        <v>44</v>
      </c>
      <c r="J66" s="21">
        <v>27.329192546583851</v>
      </c>
      <c r="K66" s="37">
        <v>24</v>
      </c>
      <c r="L66" s="31">
        <v>14.906832298136646</v>
      </c>
      <c r="M66" s="25">
        <v>0</v>
      </c>
      <c r="N66" s="30">
        <v>0</v>
      </c>
    </row>
    <row r="67" spans="2:14" ht="15" customHeight="1" x14ac:dyDescent="0.25">
      <c r="B67" s="5" t="s">
        <v>198</v>
      </c>
      <c r="C67" s="7" t="s">
        <v>277</v>
      </c>
      <c r="D67" s="7" t="s">
        <v>279</v>
      </c>
      <c r="E67" s="3">
        <v>211210</v>
      </c>
      <c r="F67" s="17">
        <v>483</v>
      </c>
      <c r="G67" s="25">
        <v>157</v>
      </c>
      <c r="H67" s="30">
        <v>32.50517598343685</v>
      </c>
      <c r="I67" s="25">
        <v>111</v>
      </c>
      <c r="J67" s="21">
        <v>22.981366459627328</v>
      </c>
      <c r="K67" s="37">
        <v>46</v>
      </c>
      <c r="L67" s="31">
        <v>9.5238095238095237</v>
      </c>
      <c r="M67" s="25">
        <v>0</v>
      </c>
      <c r="N67" s="30">
        <v>0</v>
      </c>
    </row>
    <row r="68" spans="2:14" ht="15" customHeight="1" x14ac:dyDescent="0.25">
      <c r="B68" s="5" t="s">
        <v>198</v>
      </c>
      <c r="C68" s="7" t="s">
        <v>277</v>
      </c>
      <c r="D68" s="7" t="s">
        <v>280</v>
      </c>
      <c r="E68" s="3">
        <v>211208</v>
      </c>
      <c r="F68" s="58">
        <v>79</v>
      </c>
      <c r="G68" s="59">
        <v>31</v>
      </c>
      <c r="H68" s="62">
        <v>39.24050632911392</v>
      </c>
      <c r="I68" s="59">
        <v>28</v>
      </c>
      <c r="J68" s="60">
        <v>35.443037974683541</v>
      </c>
      <c r="K68" s="61">
        <v>3</v>
      </c>
      <c r="L68" s="63">
        <v>3.79746835443038</v>
      </c>
      <c r="M68" s="59">
        <v>0</v>
      </c>
      <c r="N68" s="62">
        <v>0</v>
      </c>
    </row>
    <row r="69" spans="2:14" ht="15" customHeight="1" x14ac:dyDescent="0.25">
      <c r="B69" s="5" t="s">
        <v>198</v>
      </c>
      <c r="C69" s="7" t="s">
        <v>281</v>
      </c>
      <c r="D69" s="7" t="s">
        <v>282</v>
      </c>
      <c r="E69" s="3">
        <v>211302</v>
      </c>
      <c r="F69" s="58">
        <v>46</v>
      </c>
      <c r="G69" s="59">
        <v>2</v>
      </c>
      <c r="H69" s="62">
        <v>4.3478260869565215</v>
      </c>
      <c r="I69" s="59">
        <v>1</v>
      </c>
      <c r="J69" s="60">
        <v>2.1739130434782608</v>
      </c>
      <c r="K69" s="61">
        <v>1</v>
      </c>
      <c r="L69" s="63">
        <v>2.1739130434782608</v>
      </c>
      <c r="M69" s="59">
        <v>0</v>
      </c>
      <c r="N69" s="62">
        <v>0</v>
      </c>
    </row>
    <row r="70" spans="2:14" ht="15" customHeight="1" x14ac:dyDescent="0.25">
      <c r="B70" s="5" t="s">
        <v>198</v>
      </c>
      <c r="C70" s="7" t="s">
        <v>281</v>
      </c>
      <c r="D70" s="7" t="s">
        <v>283</v>
      </c>
      <c r="E70" s="3">
        <v>211303</v>
      </c>
      <c r="F70" s="58">
        <v>171</v>
      </c>
      <c r="G70" s="59">
        <v>34</v>
      </c>
      <c r="H70" s="62">
        <v>19.883040935672515</v>
      </c>
      <c r="I70" s="59">
        <v>29</v>
      </c>
      <c r="J70" s="60">
        <v>16.959064327485379</v>
      </c>
      <c r="K70" s="61">
        <v>5</v>
      </c>
      <c r="L70" s="63">
        <v>2.9239766081871341</v>
      </c>
      <c r="M70" s="59">
        <v>0</v>
      </c>
      <c r="N70" s="62">
        <v>0</v>
      </c>
    </row>
    <row r="71" spans="2:14" ht="15" customHeight="1" x14ac:dyDescent="0.25">
      <c r="B71" s="5" t="s">
        <v>198</v>
      </c>
      <c r="C71" s="7" t="s">
        <v>281</v>
      </c>
      <c r="D71" s="7" t="s">
        <v>284</v>
      </c>
      <c r="E71" s="3">
        <v>211304</v>
      </c>
      <c r="F71" s="58">
        <v>37</v>
      </c>
      <c r="G71" s="59">
        <v>1</v>
      </c>
      <c r="H71" s="62">
        <v>2.7027027027027026</v>
      </c>
      <c r="I71" s="59">
        <v>1</v>
      </c>
      <c r="J71" s="60">
        <v>2.7027027027027026</v>
      </c>
      <c r="K71" s="61">
        <v>0</v>
      </c>
      <c r="L71" s="63">
        <v>0</v>
      </c>
      <c r="M71" s="59">
        <v>0</v>
      </c>
      <c r="N71" s="62">
        <v>0</v>
      </c>
    </row>
    <row r="72" spans="2:14" ht="15" customHeight="1" x14ac:dyDescent="0.25">
      <c r="B72" s="5" t="s">
        <v>198</v>
      </c>
      <c r="C72" s="7" t="s">
        <v>281</v>
      </c>
      <c r="D72" s="7" t="s">
        <v>285</v>
      </c>
      <c r="E72" s="3">
        <v>211305</v>
      </c>
      <c r="F72" s="58">
        <v>55</v>
      </c>
      <c r="G72" s="59">
        <v>7</v>
      </c>
      <c r="H72" s="62">
        <v>12.727272727272727</v>
      </c>
      <c r="I72" s="59">
        <v>4</v>
      </c>
      <c r="J72" s="60">
        <v>7.2727272727272725</v>
      </c>
      <c r="K72" s="61">
        <v>3</v>
      </c>
      <c r="L72" s="63">
        <v>5.4545454545454541</v>
      </c>
      <c r="M72" s="59">
        <v>0</v>
      </c>
      <c r="N72" s="62">
        <v>0</v>
      </c>
    </row>
    <row r="73" spans="2:14" ht="15" customHeight="1" x14ac:dyDescent="0.25">
      <c r="B73" s="5" t="s">
        <v>198</v>
      </c>
      <c r="C73" s="7" t="s">
        <v>281</v>
      </c>
      <c r="D73" s="7" t="s">
        <v>286</v>
      </c>
      <c r="E73" s="3">
        <v>211306</v>
      </c>
      <c r="F73" s="58">
        <v>32</v>
      </c>
      <c r="G73" s="59">
        <v>1</v>
      </c>
      <c r="H73" s="62">
        <v>3.125</v>
      </c>
      <c r="I73" s="59">
        <v>0</v>
      </c>
      <c r="J73" s="60">
        <v>0</v>
      </c>
      <c r="K73" s="61">
        <v>1</v>
      </c>
      <c r="L73" s="63">
        <v>3.125</v>
      </c>
      <c r="M73" s="59">
        <v>0</v>
      </c>
      <c r="N73" s="62">
        <v>0</v>
      </c>
    </row>
    <row r="74" spans="2:14" ht="15" customHeight="1" x14ac:dyDescent="0.25">
      <c r="B74" s="5" t="s">
        <v>198</v>
      </c>
      <c r="C74" s="7" t="s">
        <v>281</v>
      </c>
      <c r="D74" s="7" t="s">
        <v>287</v>
      </c>
      <c r="E74" s="3">
        <v>211307</v>
      </c>
      <c r="F74" s="58">
        <v>30</v>
      </c>
      <c r="G74" s="59">
        <v>4</v>
      </c>
      <c r="H74" s="62">
        <v>13.333333333333334</v>
      </c>
      <c r="I74" s="59">
        <v>4</v>
      </c>
      <c r="J74" s="60">
        <v>13.333333333333334</v>
      </c>
      <c r="K74" s="61">
        <v>0</v>
      </c>
      <c r="L74" s="63">
        <v>0</v>
      </c>
      <c r="M74" s="59">
        <v>0</v>
      </c>
      <c r="N74" s="62">
        <v>0</v>
      </c>
    </row>
    <row r="75" spans="2:14" ht="15" customHeight="1" x14ac:dyDescent="0.25">
      <c r="B75" s="5" t="s">
        <v>198</v>
      </c>
      <c r="C75" s="7" t="s">
        <v>281</v>
      </c>
      <c r="D75" s="7" t="s">
        <v>281</v>
      </c>
      <c r="E75" s="3">
        <v>211301</v>
      </c>
      <c r="F75" s="58">
        <v>1017</v>
      </c>
      <c r="G75" s="59">
        <v>233</v>
      </c>
      <c r="H75" s="62">
        <v>22.910521140609635</v>
      </c>
      <c r="I75" s="59">
        <v>194</v>
      </c>
      <c r="J75" s="60">
        <v>19.075712881022618</v>
      </c>
      <c r="K75" s="61">
        <v>38</v>
      </c>
      <c r="L75" s="63">
        <v>3.7364798426745329</v>
      </c>
      <c r="M75" s="59">
        <v>1</v>
      </c>
      <c r="N75" s="62">
        <v>9.8328416912487712E-2</v>
      </c>
    </row>
    <row r="76" spans="2:14" ht="15" customHeight="1" x14ac:dyDescent="0.25">
      <c r="B76" s="5" t="s">
        <v>200</v>
      </c>
      <c r="C76" s="7" t="s">
        <v>200</v>
      </c>
      <c r="D76" s="7" t="s">
        <v>288</v>
      </c>
      <c r="E76" s="3">
        <v>230111</v>
      </c>
      <c r="F76" s="58">
        <v>517</v>
      </c>
      <c r="G76" s="59">
        <v>42</v>
      </c>
      <c r="H76" s="62">
        <v>8.123791102514506</v>
      </c>
      <c r="I76" s="59">
        <v>36</v>
      </c>
      <c r="J76" s="60">
        <v>6.9632495164410058</v>
      </c>
      <c r="K76" s="61">
        <v>6</v>
      </c>
      <c r="L76" s="63">
        <v>1.1605415860735011</v>
      </c>
      <c r="M76" s="59">
        <v>0</v>
      </c>
      <c r="N76" s="62">
        <v>0</v>
      </c>
    </row>
    <row r="77" spans="2:14" ht="15" customHeight="1" x14ac:dyDescent="0.25">
      <c r="B77" s="5" t="s">
        <v>200</v>
      </c>
      <c r="C77" s="7" t="s">
        <v>200</v>
      </c>
      <c r="D77" s="7" t="s">
        <v>289</v>
      </c>
      <c r="E77" s="3">
        <v>230107</v>
      </c>
      <c r="F77" s="58">
        <v>64</v>
      </c>
      <c r="G77" s="59">
        <v>21</v>
      </c>
      <c r="H77" s="62">
        <v>32.8125</v>
      </c>
      <c r="I77" s="59">
        <v>7</v>
      </c>
      <c r="J77" s="60">
        <v>10.9375</v>
      </c>
      <c r="K77" s="61">
        <v>14</v>
      </c>
      <c r="L77" s="63">
        <v>21.875</v>
      </c>
      <c r="M77" s="59">
        <v>0</v>
      </c>
      <c r="N77" s="62">
        <v>0</v>
      </c>
    </row>
    <row r="78" spans="2:14" ht="15" customHeight="1" x14ac:dyDescent="0.25">
      <c r="B78" s="5" t="s">
        <v>200</v>
      </c>
      <c r="C78" s="7" t="s">
        <v>200</v>
      </c>
      <c r="D78" s="7" t="s">
        <v>200</v>
      </c>
      <c r="E78" s="3">
        <v>230101</v>
      </c>
      <c r="F78" s="58">
        <v>2384</v>
      </c>
      <c r="G78" s="59">
        <v>343</v>
      </c>
      <c r="H78" s="62">
        <v>14.38758389261745</v>
      </c>
      <c r="I78" s="59">
        <v>291</v>
      </c>
      <c r="J78" s="60">
        <v>12.206375838926174</v>
      </c>
      <c r="K78" s="61">
        <v>52</v>
      </c>
      <c r="L78" s="63">
        <v>2.1812080536912752</v>
      </c>
      <c r="M78" s="59">
        <v>0</v>
      </c>
      <c r="N78" s="62">
        <v>0</v>
      </c>
    </row>
    <row r="79" spans="2:14" ht="15" customHeight="1" x14ac:dyDescent="0.25">
      <c r="B79" s="5" t="s">
        <v>200</v>
      </c>
      <c r="C79" s="7" t="s">
        <v>290</v>
      </c>
      <c r="D79" s="7" t="s">
        <v>290</v>
      </c>
      <c r="E79" s="3">
        <v>230401</v>
      </c>
      <c r="F79" s="58">
        <v>107</v>
      </c>
      <c r="G79" s="59">
        <v>43</v>
      </c>
      <c r="H79" s="62">
        <v>40.186915887850468</v>
      </c>
      <c r="I79" s="59">
        <v>21</v>
      </c>
      <c r="J79" s="60">
        <v>19.626168224299064</v>
      </c>
      <c r="K79" s="61">
        <v>22</v>
      </c>
      <c r="L79" s="63">
        <v>20.5607476635514</v>
      </c>
      <c r="M79" s="59">
        <v>0</v>
      </c>
      <c r="N79" s="62">
        <v>0</v>
      </c>
    </row>
    <row r="80" spans="2:14" ht="15" customHeight="1" x14ac:dyDescent="0.25">
      <c r="B80" s="5" t="s">
        <v>201</v>
      </c>
      <c r="C80" s="7" t="s">
        <v>201</v>
      </c>
      <c r="D80" s="7" t="s">
        <v>291</v>
      </c>
      <c r="E80" s="3">
        <v>240104</v>
      </c>
      <c r="F80" s="58">
        <v>510</v>
      </c>
      <c r="G80" s="59">
        <v>20</v>
      </c>
      <c r="H80" s="62">
        <v>3.9215686274509802</v>
      </c>
      <c r="I80" s="59">
        <v>17</v>
      </c>
      <c r="J80" s="60">
        <v>3.3333333333333335</v>
      </c>
      <c r="K80" s="61">
        <v>3</v>
      </c>
      <c r="L80" s="63">
        <v>0.58823529411764708</v>
      </c>
      <c r="M80" s="59">
        <v>0</v>
      </c>
      <c r="N80" s="62">
        <v>0</v>
      </c>
    </row>
    <row r="81" spans="2:14" ht="15" customHeight="1" x14ac:dyDescent="0.25">
      <c r="B81" s="5" t="s">
        <v>201</v>
      </c>
      <c r="C81" s="7" t="s">
        <v>201</v>
      </c>
      <c r="D81" s="7" t="s">
        <v>292</v>
      </c>
      <c r="E81" s="3">
        <v>240105</v>
      </c>
      <c r="F81" s="58">
        <v>503</v>
      </c>
      <c r="G81" s="59">
        <v>21</v>
      </c>
      <c r="H81" s="62">
        <v>4.1749502982107352</v>
      </c>
      <c r="I81" s="59">
        <v>17</v>
      </c>
      <c r="J81" s="60">
        <v>3.3797216699801194</v>
      </c>
      <c r="K81" s="61">
        <v>4</v>
      </c>
      <c r="L81" s="63">
        <v>0.79522862823061624</v>
      </c>
      <c r="M81" s="59">
        <v>0</v>
      </c>
      <c r="N81" s="62">
        <v>0</v>
      </c>
    </row>
    <row r="82" spans="2:14" ht="15" customHeight="1" x14ac:dyDescent="0.25">
      <c r="B82" s="5" t="s">
        <v>201</v>
      </c>
      <c r="C82" s="7" t="s">
        <v>293</v>
      </c>
      <c r="D82" s="7" t="s">
        <v>294</v>
      </c>
      <c r="E82" s="3">
        <v>240302</v>
      </c>
      <c r="F82" s="58">
        <v>1048</v>
      </c>
      <c r="G82" s="59">
        <v>97</v>
      </c>
      <c r="H82" s="62">
        <v>9.2557251908396942</v>
      </c>
      <c r="I82" s="59">
        <v>84</v>
      </c>
      <c r="J82" s="60">
        <v>8.015267175572518</v>
      </c>
      <c r="K82" s="61">
        <v>13</v>
      </c>
      <c r="L82" s="63">
        <v>1.2404580152671756</v>
      </c>
      <c r="M82" s="59">
        <v>0</v>
      </c>
      <c r="N82" s="62">
        <v>0</v>
      </c>
    </row>
    <row r="83" spans="2:14" ht="15" customHeight="1" x14ac:dyDescent="0.25">
      <c r="B83" s="5" t="s">
        <v>201</v>
      </c>
      <c r="C83" s="7" t="s">
        <v>293</v>
      </c>
      <c r="D83" s="7" t="s">
        <v>295</v>
      </c>
      <c r="E83" s="3">
        <v>240303</v>
      </c>
      <c r="F83" s="58">
        <v>302</v>
      </c>
      <c r="G83" s="59">
        <v>28</v>
      </c>
      <c r="H83" s="62">
        <v>9.2715231788079464</v>
      </c>
      <c r="I83" s="59">
        <v>19</v>
      </c>
      <c r="J83" s="60">
        <v>6.2913907284768218</v>
      </c>
      <c r="K83" s="61">
        <v>9</v>
      </c>
      <c r="L83" s="63">
        <v>2.9801324503311259</v>
      </c>
      <c r="M83" s="59">
        <v>0</v>
      </c>
      <c r="N83" s="62">
        <v>0</v>
      </c>
    </row>
    <row r="84" spans="2:14" ht="15" customHeight="1" x14ac:dyDescent="0.25">
      <c r="B84" s="5" t="s">
        <v>201</v>
      </c>
      <c r="C84" s="7" t="s">
        <v>293</v>
      </c>
      <c r="D84" s="7" t="s">
        <v>296</v>
      </c>
      <c r="E84" s="3">
        <v>240304</v>
      </c>
      <c r="F84" s="58">
        <v>498</v>
      </c>
      <c r="G84" s="59">
        <v>34</v>
      </c>
      <c r="H84" s="62">
        <v>6.8273092369477917</v>
      </c>
      <c r="I84" s="59">
        <v>25</v>
      </c>
      <c r="J84" s="60">
        <v>5.0200803212851408</v>
      </c>
      <c r="K84" s="61">
        <v>9</v>
      </c>
      <c r="L84" s="63">
        <v>1.8072289156626504</v>
      </c>
      <c r="M84" s="59">
        <v>0</v>
      </c>
      <c r="N84" s="62">
        <v>0</v>
      </c>
    </row>
    <row r="85" spans="2:14" ht="15" customHeight="1" x14ac:dyDescent="0.25">
      <c r="B85" s="5" t="s">
        <v>201</v>
      </c>
      <c r="C85" s="7" t="s">
        <v>293</v>
      </c>
      <c r="D85" s="7" t="s">
        <v>293</v>
      </c>
      <c r="E85" s="3">
        <v>240301</v>
      </c>
      <c r="F85" s="58">
        <v>1114</v>
      </c>
      <c r="G85" s="59">
        <v>106</v>
      </c>
      <c r="H85" s="62">
        <v>9.5152603231597848</v>
      </c>
      <c r="I85" s="59">
        <v>77</v>
      </c>
      <c r="J85" s="60">
        <v>6.9120287253141832</v>
      </c>
      <c r="K85" s="61">
        <v>29</v>
      </c>
      <c r="L85" s="63">
        <v>2.6032315978456015</v>
      </c>
      <c r="M85" s="59">
        <v>0</v>
      </c>
      <c r="N85" s="62">
        <v>0</v>
      </c>
    </row>
    <row r="86" spans="2:14" ht="15" customHeight="1" x14ac:dyDescent="0.25">
      <c r="B86" s="5" t="s">
        <v>202</v>
      </c>
      <c r="C86" s="7" t="s">
        <v>297</v>
      </c>
      <c r="D86" s="7" t="s">
        <v>298</v>
      </c>
      <c r="E86" s="3">
        <v>250204</v>
      </c>
      <c r="F86" s="58">
        <v>285</v>
      </c>
      <c r="G86" s="59">
        <v>115</v>
      </c>
      <c r="H86" s="62">
        <v>40.350877192982452</v>
      </c>
      <c r="I86" s="59">
        <v>76</v>
      </c>
      <c r="J86" s="60">
        <v>26.666666666666668</v>
      </c>
      <c r="K86" s="61">
        <v>38</v>
      </c>
      <c r="L86" s="63">
        <v>13.333333333333334</v>
      </c>
      <c r="M86" s="59">
        <v>1</v>
      </c>
      <c r="N86" s="62">
        <v>0.35087719298245612</v>
      </c>
    </row>
    <row r="87" spans="2:14" ht="15" customHeight="1" x14ac:dyDescent="0.25">
      <c r="B87" s="5" t="s">
        <v>202</v>
      </c>
      <c r="C87" s="7" t="s">
        <v>299</v>
      </c>
      <c r="D87" s="7" t="s">
        <v>300</v>
      </c>
      <c r="E87" s="3">
        <v>250101</v>
      </c>
      <c r="F87" s="58">
        <v>7586</v>
      </c>
      <c r="G87" s="59">
        <v>1215</v>
      </c>
      <c r="H87" s="62">
        <v>16.016345900342738</v>
      </c>
      <c r="I87" s="59">
        <v>957</v>
      </c>
      <c r="J87" s="60">
        <v>12.615344054837859</v>
      </c>
      <c r="K87" s="61">
        <v>256</v>
      </c>
      <c r="L87" s="63">
        <v>3.3746374901133671</v>
      </c>
      <c r="M87" s="59">
        <v>2</v>
      </c>
      <c r="N87" s="62">
        <v>2.6364355391510681E-2</v>
      </c>
    </row>
    <row r="88" spans="2:14" ht="15" customHeight="1" x14ac:dyDescent="0.25">
      <c r="B88" s="5" t="s">
        <v>202</v>
      </c>
      <c r="C88" s="7" t="s">
        <v>299</v>
      </c>
      <c r="D88" s="7" t="s">
        <v>301</v>
      </c>
      <c r="E88" s="3">
        <v>250104</v>
      </c>
      <c r="F88" s="58">
        <v>1093</v>
      </c>
      <c r="G88" s="59">
        <v>261</v>
      </c>
      <c r="H88" s="62">
        <v>23.879231473010066</v>
      </c>
      <c r="I88" s="59">
        <v>186</v>
      </c>
      <c r="J88" s="60">
        <v>17.017383348581884</v>
      </c>
      <c r="K88" s="61">
        <v>75</v>
      </c>
      <c r="L88" s="63">
        <v>6.8618481244281799</v>
      </c>
      <c r="M88" s="59">
        <v>0</v>
      </c>
      <c r="N88" s="62">
        <v>0</v>
      </c>
    </row>
    <row r="89" spans="2:14" ht="15" customHeight="1" x14ac:dyDescent="0.25">
      <c r="B89" s="5" t="s">
        <v>202</v>
      </c>
      <c r="C89" s="7" t="s">
        <v>302</v>
      </c>
      <c r="D89" s="7" t="s">
        <v>302</v>
      </c>
      <c r="E89" s="3">
        <v>250401</v>
      </c>
      <c r="F89" s="58">
        <v>209</v>
      </c>
      <c r="G89" s="59">
        <v>54</v>
      </c>
      <c r="H89" s="62">
        <v>25.837320574162682</v>
      </c>
      <c r="I89" s="59">
        <v>36</v>
      </c>
      <c r="J89" s="60">
        <v>17.224880382775119</v>
      </c>
      <c r="K89" s="61">
        <v>18</v>
      </c>
      <c r="L89" s="63">
        <v>8.6124401913875595</v>
      </c>
      <c r="M89" s="59">
        <v>0</v>
      </c>
      <c r="N89" s="62">
        <v>0</v>
      </c>
    </row>
    <row r="90" spans="2:14" ht="15" customHeight="1" thickBot="1" x14ac:dyDescent="0.3">
      <c r="B90" s="5"/>
      <c r="C90" s="7"/>
      <c r="D90" s="7"/>
      <c r="E90" s="3"/>
      <c r="F90" s="58"/>
      <c r="G90" s="59"/>
      <c r="H90" s="62"/>
      <c r="I90" s="59"/>
      <c r="J90" s="60"/>
      <c r="K90" s="61"/>
      <c r="L90" s="63"/>
      <c r="M90" s="59"/>
      <c r="N90" s="62"/>
    </row>
    <row r="91" spans="2:14" ht="15" customHeight="1" thickBot="1" x14ac:dyDescent="0.3">
      <c r="B91" s="98" t="s">
        <v>44</v>
      </c>
      <c r="C91" s="99"/>
      <c r="D91" s="99"/>
      <c r="E91" s="100"/>
      <c r="F91" s="19">
        <f>SUM(F7:F90)</f>
        <v>66917</v>
      </c>
      <c r="G91" s="27">
        <f>SUM(G7:G90)</f>
        <v>10436</v>
      </c>
      <c r="H91" s="34">
        <f>G91/F91*100</f>
        <v>15.595439126081564</v>
      </c>
      <c r="I91" s="27">
        <f>SUM(I7:I90)</f>
        <v>8080</v>
      </c>
      <c r="J91" s="23">
        <f>I91/F91*100</f>
        <v>12.074659653002975</v>
      </c>
      <c r="K91" s="39">
        <f>SUM(K7:K90)</f>
        <v>2313</v>
      </c>
      <c r="L91" s="35">
        <f>K91/F91*100</f>
        <v>3.4565207645291931</v>
      </c>
      <c r="M91" s="27">
        <f>SUM(M7:M90)</f>
        <v>43</v>
      </c>
      <c r="N91" s="34">
        <f>M91/F91*100</f>
        <v>6.4258708549397012E-2</v>
      </c>
    </row>
    <row r="92" spans="2:14" ht="15" customHeight="1" x14ac:dyDescent="0.25">
      <c r="B92" s="2" t="str">
        <f>_xlfn.CONCAT("Fuente: Sistema de Información SIEN - HIS, ",RIGHT(INICIO!C8,4),".")</f>
        <v>Fuente: Sistema de Información SIEN - HIS, 2025.</v>
      </c>
      <c r="C92" s="12"/>
      <c r="D92" s="12"/>
      <c r="E92" s="12"/>
    </row>
    <row r="93" spans="2:14" ht="15" customHeight="1" x14ac:dyDescent="0.25">
      <c r="B93" s="2" t="s">
        <v>68</v>
      </c>
      <c r="C93" s="12"/>
      <c r="D93" s="12"/>
      <c r="E93" s="12"/>
    </row>
    <row r="94" spans="2:14" ht="15" customHeight="1" x14ac:dyDescent="0.25">
      <c r="B94" s="2"/>
    </row>
    <row r="95" spans="2:14" ht="15" customHeight="1" x14ac:dyDescent="0.25">
      <c r="B95" s="2"/>
    </row>
  </sheetData>
  <mergeCells count="12">
    <mergeCell ref="B91:E91"/>
    <mergeCell ref="M5:N5"/>
    <mergeCell ref="B2:N2"/>
    <mergeCell ref="B3:N3"/>
    <mergeCell ref="B5:B6"/>
    <mergeCell ref="C5:C6"/>
    <mergeCell ref="D5:D6"/>
    <mergeCell ref="E5:E6"/>
    <mergeCell ref="F5:F6"/>
    <mergeCell ref="G5:H5"/>
    <mergeCell ref="I5:J5"/>
    <mergeCell ref="K5:L5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7A33-ADFA-44EA-BBDA-788F0748E5C8}">
  <sheetPr codeName="Hoja17">
    <tabColor rgb="FFC00000"/>
  </sheetPr>
  <dimension ref="B2:O100"/>
  <sheetViews>
    <sheetView showGridLines="0" workbookViewId="0"/>
  </sheetViews>
  <sheetFormatPr baseColWidth="10" defaultColWidth="11.42578125" defaultRowHeight="15" customHeight="1" x14ac:dyDescent="0.25"/>
  <cols>
    <col min="1" max="1" width="12.7109375" style="1" customWidth="1"/>
    <col min="2" max="2" width="20.5703125" style="1" customWidth="1"/>
    <col min="3" max="3" width="15.7109375" style="1" customWidth="1"/>
    <col min="4" max="4" width="25.7109375" style="1" customWidth="1"/>
    <col min="5" max="5" width="35.7109375" style="1" customWidth="1"/>
    <col min="6" max="6" width="10.7109375" style="1" customWidth="1"/>
    <col min="7" max="15" width="12.7109375" style="1" customWidth="1"/>
    <col min="16" max="16384" width="11.42578125" style="1"/>
  </cols>
  <sheetData>
    <row r="2" spans="2:15" ht="84.95" customHeight="1" x14ac:dyDescent="0.25">
      <c r="B2" s="89" t="s">
        <v>67</v>
      </c>
      <c r="C2" s="89"/>
      <c r="D2" s="89"/>
      <c r="E2" s="89"/>
      <c r="F2" s="89"/>
      <c r="G2" s="102"/>
      <c r="H2" s="102"/>
      <c r="I2" s="102"/>
      <c r="J2" s="102"/>
      <c r="K2" s="102"/>
      <c r="L2" s="102"/>
      <c r="M2" s="102"/>
      <c r="N2" s="102"/>
      <c r="O2" s="102"/>
    </row>
    <row r="3" spans="2:15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5" ht="15" customHeight="1" thickBot="1" x14ac:dyDescent="0.3"/>
    <row r="5" spans="2:15" ht="15" customHeight="1" thickBot="1" x14ac:dyDescent="0.3">
      <c r="B5" s="92" t="s">
        <v>50</v>
      </c>
      <c r="C5" s="92" t="s">
        <v>0</v>
      </c>
      <c r="D5" s="92" t="s">
        <v>5</v>
      </c>
      <c r="E5" s="101" t="s">
        <v>6</v>
      </c>
      <c r="F5" s="92" t="s">
        <v>7</v>
      </c>
      <c r="G5" s="91" t="s">
        <v>10</v>
      </c>
      <c r="H5" s="91" t="s">
        <v>8</v>
      </c>
      <c r="I5" s="91"/>
      <c r="J5" s="94" t="s">
        <v>17</v>
      </c>
      <c r="K5" s="91"/>
      <c r="L5" s="91" t="s">
        <v>18</v>
      </c>
      <c r="M5" s="91"/>
      <c r="N5" s="91" t="s">
        <v>19</v>
      </c>
      <c r="O5" s="91"/>
    </row>
    <row r="6" spans="2:15" ht="15" customHeight="1" thickBot="1" x14ac:dyDescent="0.3">
      <c r="B6" s="92"/>
      <c r="C6" s="92"/>
      <c r="D6" s="92"/>
      <c r="E6" s="101"/>
      <c r="F6" s="92"/>
      <c r="G6" s="91"/>
      <c r="H6" s="9" t="s">
        <v>1</v>
      </c>
      <c r="I6" s="9" t="s">
        <v>2</v>
      </c>
      <c r="J6" s="10" t="s">
        <v>1</v>
      </c>
      <c r="K6" s="9" t="s">
        <v>2</v>
      </c>
      <c r="L6" s="9" t="s">
        <v>1</v>
      </c>
      <c r="M6" s="9" t="s">
        <v>2</v>
      </c>
      <c r="N6" s="9" t="s">
        <v>1</v>
      </c>
      <c r="O6" s="9" t="s">
        <v>2</v>
      </c>
    </row>
    <row r="7" spans="2:15" ht="15" customHeight="1" x14ac:dyDescent="0.25">
      <c r="B7" s="4" t="s">
        <v>48</v>
      </c>
      <c r="C7" s="6" t="s">
        <v>70</v>
      </c>
      <c r="D7" s="7" t="s">
        <v>71</v>
      </c>
      <c r="E7" s="6" t="s">
        <v>72</v>
      </c>
      <c r="F7" s="43">
        <v>210401</v>
      </c>
      <c r="G7" s="16">
        <f t="shared" ref="G7:G47" si="0">IFERROR(VLOOKUP($F7,distrito659,2,0),"-")</f>
        <v>644</v>
      </c>
      <c r="H7" s="24">
        <f t="shared" ref="H7:H47" si="1">IFERROR(VLOOKUP($F7,distrito659,3,0),"-")</f>
        <v>100</v>
      </c>
      <c r="I7" s="20">
        <f t="shared" ref="I7:I47" si="2">IFERROR(VLOOKUP($F7,distrito659,4,0),"-")</f>
        <v>15.527950310559005</v>
      </c>
      <c r="J7" s="36">
        <f t="shared" ref="J7:J47" si="3">IFERROR(VLOOKUP($F7,distrito659,5,0),"-")</f>
        <v>64</v>
      </c>
      <c r="K7" s="24">
        <f t="shared" ref="K7:K47" si="4">IFERROR(VLOOKUP($F7,distrito659,6,0),"-")</f>
        <v>9.9378881987577632</v>
      </c>
      <c r="L7" s="20">
        <f t="shared" ref="L7:L47" si="5">IFERROR(VLOOKUP($F7,distrito659,7,0),"-")</f>
        <v>35</v>
      </c>
      <c r="M7" s="16">
        <f t="shared" ref="M7:M47" si="6">IFERROR(VLOOKUP($F7,distrito659,8,0),"-")</f>
        <v>5.4347826086956523</v>
      </c>
      <c r="N7" s="24">
        <f t="shared" ref="N7:N47" si="7">IFERROR(VLOOKUP($F7,distrito659,9,0),"-")</f>
        <v>1</v>
      </c>
      <c r="O7" s="28">
        <f t="shared" ref="O7:O47" si="8">IFERROR(VLOOKUP($F7,distrito659,10,0),"-")</f>
        <v>0.15527950310559005</v>
      </c>
    </row>
    <row r="8" spans="2:15" ht="15" customHeight="1" x14ac:dyDescent="0.25">
      <c r="B8" s="5" t="s">
        <v>48</v>
      </c>
      <c r="C8" s="7" t="s">
        <v>70</v>
      </c>
      <c r="D8" s="7" t="s">
        <v>71</v>
      </c>
      <c r="E8" s="7" t="s">
        <v>73</v>
      </c>
      <c r="F8" s="44">
        <v>210402</v>
      </c>
      <c r="G8" s="17">
        <f t="shared" si="0"/>
        <v>309</v>
      </c>
      <c r="H8" s="25">
        <f t="shared" si="1"/>
        <v>98</v>
      </c>
      <c r="I8" s="21">
        <f t="shared" si="2"/>
        <v>31.715210355987054</v>
      </c>
      <c r="J8" s="37">
        <f t="shared" si="3"/>
        <v>76</v>
      </c>
      <c r="K8" s="25">
        <f t="shared" si="4"/>
        <v>24.595469255663431</v>
      </c>
      <c r="L8" s="21">
        <f t="shared" si="5"/>
        <v>21</v>
      </c>
      <c r="M8" s="17">
        <f t="shared" si="6"/>
        <v>6.7961165048543686</v>
      </c>
      <c r="N8" s="25">
        <f t="shared" si="7"/>
        <v>1</v>
      </c>
      <c r="O8" s="30">
        <f t="shared" si="8"/>
        <v>0.3236245954692557</v>
      </c>
    </row>
    <row r="9" spans="2:15" ht="15" customHeight="1" x14ac:dyDescent="0.25">
      <c r="B9" s="5" t="s">
        <v>48</v>
      </c>
      <c r="C9" s="7" t="s">
        <v>70</v>
      </c>
      <c r="D9" s="7" t="s">
        <v>71</v>
      </c>
      <c r="E9" s="7" t="s">
        <v>74</v>
      </c>
      <c r="F9" s="44">
        <v>210404</v>
      </c>
      <c r="G9" s="17">
        <f t="shared" si="0"/>
        <v>124</v>
      </c>
      <c r="H9" s="25">
        <f t="shared" si="1"/>
        <v>29</v>
      </c>
      <c r="I9" s="21">
        <f t="shared" si="2"/>
        <v>23.387096774193548</v>
      </c>
      <c r="J9" s="37">
        <f t="shared" si="3"/>
        <v>20</v>
      </c>
      <c r="K9" s="25">
        <f t="shared" si="4"/>
        <v>16.129032258064516</v>
      </c>
      <c r="L9" s="21">
        <f t="shared" si="5"/>
        <v>9</v>
      </c>
      <c r="M9" s="17">
        <f t="shared" si="6"/>
        <v>7.2580645161290329</v>
      </c>
      <c r="N9" s="25">
        <f t="shared" si="7"/>
        <v>0</v>
      </c>
      <c r="O9" s="30">
        <f t="shared" si="8"/>
        <v>0</v>
      </c>
    </row>
    <row r="10" spans="2:15" ht="15" customHeight="1" x14ac:dyDescent="0.25">
      <c r="B10" s="5" t="s">
        <v>48</v>
      </c>
      <c r="C10" s="7" t="s">
        <v>70</v>
      </c>
      <c r="D10" s="7" t="s">
        <v>70</v>
      </c>
      <c r="E10" s="7" t="s">
        <v>70</v>
      </c>
      <c r="F10" s="44">
        <v>210101</v>
      </c>
      <c r="G10" s="17">
        <f t="shared" si="0"/>
        <v>3956</v>
      </c>
      <c r="H10" s="25">
        <f t="shared" si="1"/>
        <v>535</v>
      </c>
      <c r="I10" s="21">
        <f t="shared" si="2"/>
        <v>13.523761375126389</v>
      </c>
      <c r="J10" s="37">
        <f t="shared" si="3"/>
        <v>478</v>
      </c>
      <c r="K10" s="25">
        <f t="shared" si="4"/>
        <v>12.082912032355916</v>
      </c>
      <c r="L10" s="21">
        <f t="shared" si="5"/>
        <v>54</v>
      </c>
      <c r="M10" s="17">
        <f t="shared" si="6"/>
        <v>1.3650151668351871</v>
      </c>
      <c r="N10" s="25">
        <f t="shared" si="7"/>
        <v>3</v>
      </c>
      <c r="O10" s="30">
        <f t="shared" si="8"/>
        <v>7.583417593528817E-2</v>
      </c>
    </row>
    <row r="11" spans="2:15" ht="15" customHeight="1" x14ac:dyDescent="0.25">
      <c r="B11" s="5" t="s">
        <v>48</v>
      </c>
      <c r="C11" s="7" t="s">
        <v>70</v>
      </c>
      <c r="D11" s="7" t="s">
        <v>70</v>
      </c>
      <c r="E11" s="7" t="s">
        <v>75</v>
      </c>
      <c r="F11" s="44">
        <v>210102</v>
      </c>
      <c r="G11" s="17">
        <f t="shared" si="0"/>
        <v>794</v>
      </c>
      <c r="H11" s="25">
        <f t="shared" si="1"/>
        <v>75</v>
      </c>
      <c r="I11" s="21">
        <f t="shared" si="2"/>
        <v>9.4458438287153648</v>
      </c>
      <c r="J11" s="37">
        <f t="shared" si="3"/>
        <v>63</v>
      </c>
      <c r="K11" s="25">
        <f t="shared" si="4"/>
        <v>7.934508816120907</v>
      </c>
      <c r="L11" s="21">
        <f t="shared" si="5"/>
        <v>10</v>
      </c>
      <c r="M11" s="17">
        <f t="shared" si="6"/>
        <v>1.2594458438287155</v>
      </c>
      <c r="N11" s="25">
        <f t="shared" si="7"/>
        <v>2</v>
      </c>
      <c r="O11" s="30">
        <f t="shared" si="8"/>
        <v>0.25188916876574308</v>
      </c>
    </row>
    <row r="12" spans="2:15" ht="15" customHeight="1" x14ac:dyDescent="0.25">
      <c r="B12" s="5" t="s">
        <v>48</v>
      </c>
      <c r="C12" s="7" t="s">
        <v>70</v>
      </c>
      <c r="D12" s="7" t="s">
        <v>70</v>
      </c>
      <c r="E12" s="7" t="s">
        <v>76</v>
      </c>
      <c r="F12" s="44">
        <v>210103</v>
      </c>
      <c r="G12" s="17">
        <f t="shared" si="0"/>
        <v>162</v>
      </c>
      <c r="H12" s="25">
        <f t="shared" si="1"/>
        <v>29</v>
      </c>
      <c r="I12" s="21">
        <f t="shared" si="2"/>
        <v>17.901234567901234</v>
      </c>
      <c r="J12" s="37">
        <f t="shared" si="3"/>
        <v>25</v>
      </c>
      <c r="K12" s="25">
        <f t="shared" si="4"/>
        <v>15.432098765432098</v>
      </c>
      <c r="L12" s="21">
        <f t="shared" si="5"/>
        <v>4</v>
      </c>
      <c r="M12" s="17">
        <f t="shared" si="6"/>
        <v>2.4691358024691357</v>
      </c>
      <c r="N12" s="25">
        <f t="shared" si="7"/>
        <v>0</v>
      </c>
      <c r="O12" s="30">
        <f t="shared" si="8"/>
        <v>0</v>
      </c>
    </row>
    <row r="13" spans="2:15" ht="15" customHeight="1" x14ac:dyDescent="0.25">
      <c r="B13" s="5" t="s">
        <v>48</v>
      </c>
      <c r="C13" s="7" t="s">
        <v>70</v>
      </c>
      <c r="D13" s="7" t="s">
        <v>70</v>
      </c>
      <c r="E13" s="7" t="s">
        <v>77</v>
      </c>
      <c r="F13" s="44">
        <v>210105</v>
      </c>
      <c r="G13" s="17">
        <f t="shared" si="0"/>
        <v>311</v>
      </c>
      <c r="H13" s="25">
        <f t="shared" si="1"/>
        <v>48</v>
      </c>
      <c r="I13" s="21">
        <f t="shared" si="2"/>
        <v>15.434083601286176</v>
      </c>
      <c r="J13" s="37">
        <f t="shared" si="3"/>
        <v>35</v>
      </c>
      <c r="K13" s="25">
        <f t="shared" si="4"/>
        <v>11.254019292604502</v>
      </c>
      <c r="L13" s="21">
        <f t="shared" si="5"/>
        <v>11</v>
      </c>
      <c r="M13" s="17">
        <f t="shared" si="6"/>
        <v>3.536977491961415</v>
      </c>
      <c r="N13" s="25">
        <f t="shared" si="7"/>
        <v>2</v>
      </c>
      <c r="O13" s="30">
        <f t="shared" si="8"/>
        <v>0.64308681672025725</v>
      </c>
    </row>
    <row r="14" spans="2:15" ht="15" customHeight="1" x14ac:dyDescent="0.25">
      <c r="B14" s="5" t="s">
        <v>48</v>
      </c>
      <c r="C14" s="7" t="s">
        <v>70</v>
      </c>
      <c r="D14" s="7" t="s">
        <v>70</v>
      </c>
      <c r="E14" s="7" t="s">
        <v>71</v>
      </c>
      <c r="F14" s="44">
        <v>210106</v>
      </c>
      <c r="G14" s="17">
        <f t="shared" si="0"/>
        <v>247</v>
      </c>
      <c r="H14" s="25">
        <f t="shared" si="1"/>
        <v>45</v>
      </c>
      <c r="I14" s="21">
        <f t="shared" si="2"/>
        <v>18.218623481781375</v>
      </c>
      <c r="J14" s="37">
        <f t="shared" si="3"/>
        <v>32</v>
      </c>
      <c r="K14" s="25">
        <f t="shared" si="4"/>
        <v>12.955465587044534</v>
      </c>
      <c r="L14" s="21">
        <f t="shared" si="5"/>
        <v>13</v>
      </c>
      <c r="M14" s="17">
        <f t="shared" si="6"/>
        <v>5.2631578947368416</v>
      </c>
      <c r="N14" s="25">
        <f t="shared" si="7"/>
        <v>0</v>
      </c>
      <c r="O14" s="30">
        <f t="shared" si="8"/>
        <v>0</v>
      </c>
    </row>
    <row r="15" spans="2:15" ht="15" customHeight="1" x14ac:dyDescent="0.25">
      <c r="B15" s="5" t="s">
        <v>48</v>
      </c>
      <c r="C15" s="7" t="s">
        <v>70</v>
      </c>
      <c r="D15" s="7" t="s">
        <v>70</v>
      </c>
      <c r="E15" s="7" t="s">
        <v>78</v>
      </c>
      <c r="F15" s="44">
        <v>210107</v>
      </c>
      <c r="G15" s="17">
        <f t="shared" si="0"/>
        <v>374</v>
      </c>
      <c r="H15" s="25">
        <f t="shared" si="1"/>
        <v>88</v>
      </c>
      <c r="I15" s="21">
        <f t="shared" si="2"/>
        <v>23.52941176470588</v>
      </c>
      <c r="J15" s="37">
        <f t="shared" si="3"/>
        <v>80</v>
      </c>
      <c r="K15" s="25">
        <f t="shared" si="4"/>
        <v>21.390374331550802</v>
      </c>
      <c r="L15" s="21">
        <f t="shared" si="5"/>
        <v>7</v>
      </c>
      <c r="M15" s="17">
        <f t="shared" si="6"/>
        <v>1.8716577540106951</v>
      </c>
      <c r="N15" s="25">
        <f t="shared" si="7"/>
        <v>1</v>
      </c>
      <c r="O15" s="30">
        <f t="shared" si="8"/>
        <v>0.26737967914438499</v>
      </c>
    </row>
    <row r="16" spans="2:15" ht="15" customHeight="1" x14ac:dyDescent="0.25">
      <c r="B16" s="5" t="s">
        <v>48</v>
      </c>
      <c r="C16" s="7" t="s">
        <v>70</v>
      </c>
      <c r="D16" s="7" t="s">
        <v>70</v>
      </c>
      <c r="E16" s="7" t="s">
        <v>79</v>
      </c>
      <c r="F16" s="44">
        <v>210108</v>
      </c>
      <c r="G16" s="17">
        <f t="shared" si="0"/>
        <v>150</v>
      </c>
      <c r="H16" s="25">
        <f t="shared" si="1"/>
        <v>45</v>
      </c>
      <c r="I16" s="21">
        <f t="shared" si="2"/>
        <v>30</v>
      </c>
      <c r="J16" s="37">
        <f t="shared" si="3"/>
        <v>33</v>
      </c>
      <c r="K16" s="25">
        <f t="shared" si="4"/>
        <v>22</v>
      </c>
      <c r="L16" s="21">
        <f t="shared" si="5"/>
        <v>11</v>
      </c>
      <c r="M16" s="17">
        <f t="shared" si="6"/>
        <v>7.333333333333333</v>
      </c>
      <c r="N16" s="25">
        <f t="shared" si="7"/>
        <v>1</v>
      </c>
      <c r="O16" s="30">
        <f t="shared" si="8"/>
        <v>0.66666666666666674</v>
      </c>
    </row>
    <row r="17" spans="2:15" ht="15" customHeight="1" x14ac:dyDescent="0.25">
      <c r="B17" s="5" t="s">
        <v>48</v>
      </c>
      <c r="C17" s="7" t="s">
        <v>70</v>
      </c>
      <c r="D17" s="7" t="s">
        <v>70</v>
      </c>
      <c r="E17" s="7" t="s">
        <v>80</v>
      </c>
      <c r="F17" s="44">
        <v>210110</v>
      </c>
      <c r="G17" s="17">
        <f t="shared" si="0"/>
        <v>216</v>
      </c>
      <c r="H17" s="25">
        <f t="shared" si="1"/>
        <v>19</v>
      </c>
      <c r="I17" s="21">
        <f t="shared" si="2"/>
        <v>8.7962962962962958</v>
      </c>
      <c r="J17" s="37">
        <f t="shared" si="3"/>
        <v>15</v>
      </c>
      <c r="K17" s="25">
        <f t="shared" si="4"/>
        <v>6.9444444444444446</v>
      </c>
      <c r="L17" s="21">
        <f t="shared" si="5"/>
        <v>4</v>
      </c>
      <c r="M17" s="17">
        <f t="shared" si="6"/>
        <v>1.8518518518518516</v>
      </c>
      <c r="N17" s="25">
        <f t="shared" si="7"/>
        <v>0</v>
      </c>
      <c r="O17" s="30">
        <f t="shared" si="8"/>
        <v>0</v>
      </c>
    </row>
    <row r="18" spans="2:15" ht="15" customHeight="1" x14ac:dyDescent="0.25">
      <c r="B18" s="5" t="s">
        <v>48</v>
      </c>
      <c r="C18" s="7" t="s">
        <v>70</v>
      </c>
      <c r="D18" s="7" t="s">
        <v>70</v>
      </c>
      <c r="E18" s="7" t="s">
        <v>81</v>
      </c>
      <c r="F18" s="44">
        <v>210112</v>
      </c>
      <c r="G18" s="17">
        <f t="shared" si="0"/>
        <v>212</v>
      </c>
      <c r="H18" s="25">
        <f t="shared" si="1"/>
        <v>34</v>
      </c>
      <c r="I18" s="21">
        <f t="shared" si="2"/>
        <v>16.037735849056602</v>
      </c>
      <c r="J18" s="37">
        <f t="shared" si="3"/>
        <v>32</v>
      </c>
      <c r="K18" s="25">
        <f t="shared" si="4"/>
        <v>15.09433962264151</v>
      </c>
      <c r="L18" s="21">
        <f t="shared" si="5"/>
        <v>2</v>
      </c>
      <c r="M18" s="17">
        <f t="shared" si="6"/>
        <v>0.94339622641509435</v>
      </c>
      <c r="N18" s="25">
        <f t="shared" si="7"/>
        <v>0</v>
      </c>
      <c r="O18" s="30">
        <f t="shared" si="8"/>
        <v>0</v>
      </c>
    </row>
    <row r="19" spans="2:15" ht="15" customHeight="1" x14ac:dyDescent="0.25">
      <c r="B19" s="5" t="s">
        <v>48</v>
      </c>
      <c r="C19" s="7" t="s">
        <v>70</v>
      </c>
      <c r="D19" s="7" t="s">
        <v>71</v>
      </c>
      <c r="E19" s="7" t="s">
        <v>82</v>
      </c>
      <c r="F19" s="44">
        <v>210405</v>
      </c>
      <c r="G19" s="17">
        <f t="shared" si="0"/>
        <v>90</v>
      </c>
      <c r="H19" s="25">
        <f t="shared" si="1"/>
        <v>20</v>
      </c>
      <c r="I19" s="21">
        <f t="shared" si="2"/>
        <v>22.222222222222221</v>
      </c>
      <c r="J19" s="37">
        <f t="shared" si="3"/>
        <v>17</v>
      </c>
      <c r="K19" s="25">
        <f t="shared" si="4"/>
        <v>18.888888888888889</v>
      </c>
      <c r="L19" s="21">
        <f t="shared" si="5"/>
        <v>3</v>
      </c>
      <c r="M19" s="17">
        <f t="shared" si="6"/>
        <v>3.3333333333333335</v>
      </c>
      <c r="N19" s="25">
        <f t="shared" si="7"/>
        <v>0</v>
      </c>
      <c r="O19" s="30">
        <f t="shared" si="8"/>
        <v>0</v>
      </c>
    </row>
    <row r="20" spans="2:15" ht="15" customHeight="1" x14ac:dyDescent="0.25">
      <c r="B20" s="5" t="s">
        <v>48</v>
      </c>
      <c r="C20" s="7" t="s">
        <v>70</v>
      </c>
      <c r="D20" s="7" t="s">
        <v>71</v>
      </c>
      <c r="E20" s="7" t="s">
        <v>83</v>
      </c>
      <c r="F20" s="44">
        <v>210406</v>
      </c>
      <c r="G20" s="17">
        <f t="shared" si="0"/>
        <v>338</v>
      </c>
      <c r="H20" s="25">
        <f t="shared" si="1"/>
        <v>28</v>
      </c>
      <c r="I20" s="21">
        <f t="shared" si="2"/>
        <v>8.2840236686390547</v>
      </c>
      <c r="J20" s="37">
        <f t="shared" si="3"/>
        <v>20</v>
      </c>
      <c r="K20" s="25">
        <f t="shared" si="4"/>
        <v>5.9171597633136095</v>
      </c>
      <c r="L20" s="21">
        <f t="shared" si="5"/>
        <v>7</v>
      </c>
      <c r="M20" s="17">
        <f t="shared" si="6"/>
        <v>2.0710059171597637</v>
      </c>
      <c r="N20" s="25">
        <f t="shared" si="7"/>
        <v>1</v>
      </c>
      <c r="O20" s="30">
        <f t="shared" si="8"/>
        <v>0.29585798816568049</v>
      </c>
    </row>
    <row r="21" spans="2:15" ht="15" customHeight="1" x14ac:dyDescent="0.25">
      <c r="B21" s="5" t="s">
        <v>48</v>
      </c>
      <c r="C21" s="7" t="s">
        <v>70</v>
      </c>
      <c r="D21" s="7" t="s">
        <v>71</v>
      </c>
      <c r="E21" s="7" t="s">
        <v>84</v>
      </c>
      <c r="F21" s="44">
        <v>210407</v>
      </c>
      <c r="G21" s="17">
        <f t="shared" si="0"/>
        <v>611</v>
      </c>
      <c r="H21" s="25">
        <f t="shared" si="1"/>
        <v>177</v>
      </c>
      <c r="I21" s="21">
        <f t="shared" si="2"/>
        <v>28.968903436988541</v>
      </c>
      <c r="J21" s="37">
        <f t="shared" si="3"/>
        <v>154</v>
      </c>
      <c r="K21" s="25">
        <f t="shared" si="4"/>
        <v>25.20458265139116</v>
      </c>
      <c r="L21" s="21">
        <f t="shared" si="5"/>
        <v>22</v>
      </c>
      <c r="M21" s="17">
        <f t="shared" si="6"/>
        <v>3.6006546644844519</v>
      </c>
      <c r="N21" s="25">
        <f t="shared" si="7"/>
        <v>1</v>
      </c>
      <c r="O21" s="30">
        <f t="shared" si="8"/>
        <v>0.16366612111292964</v>
      </c>
    </row>
    <row r="22" spans="2:15" ht="15" customHeight="1" x14ac:dyDescent="0.25">
      <c r="B22" s="5" t="s">
        <v>48</v>
      </c>
      <c r="C22" s="7" t="s">
        <v>70</v>
      </c>
      <c r="D22" s="7" t="s">
        <v>85</v>
      </c>
      <c r="E22" s="7" t="s">
        <v>86</v>
      </c>
      <c r="F22" s="44">
        <v>210501</v>
      </c>
      <c r="G22" s="17">
        <f t="shared" si="0"/>
        <v>1859</v>
      </c>
      <c r="H22" s="25">
        <f t="shared" si="1"/>
        <v>316</v>
      </c>
      <c r="I22" s="21">
        <f t="shared" si="2"/>
        <v>16.998386229155461</v>
      </c>
      <c r="J22" s="37">
        <f t="shared" si="3"/>
        <v>256</v>
      </c>
      <c r="K22" s="25">
        <f t="shared" si="4"/>
        <v>13.770844540075307</v>
      </c>
      <c r="L22" s="21">
        <f t="shared" si="5"/>
        <v>58</v>
      </c>
      <c r="M22" s="17">
        <f t="shared" si="6"/>
        <v>3.1199569661108124</v>
      </c>
      <c r="N22" s="25">
        <f t="shared" si="7"/>
        <v>2</v>
      </c>
      <c r="O22" s="30">
        <f t="shared" si="8"/>
        <v>0.10758472296933834</v>
      </c>
    </row>
    <row r="23" spans="2:15" ht="15" customHeight="1" x14ac:dyDescent="0.25">
      <c r="B23" s="5" t="s">
        <v>48</v>
      </c>
      <c r="C23" s="7" t="s">
        <v>70</v>
      </c>
      <c r="D23" s="7" t="s">
        <v>85</v>
      </c>
      <c r="E23" s="7" t="s">
        <v>87</v>
      </c>
      <c r="F23" s="44">
        <v>210502</v>
      </c>
      <c r="G23" s="17">
        <f t="shared" si="0"/>
        <v>25</v>
      </c>
      <c r="H23" s="25">
        <f t="shared" si="1"/>
        <v>1</v>
      </c>
      <c r="I23" s="21">
        <f t="shared" si="2"/>
        <v>4</v>
      </c>
      <c r="J23" s="37">
        <f t="shared" si="3"/>
        <v>1</v>
      </c>
      <c r="K23" s="25">
        <f t="shared" si="4"/>
        <v>4</v>
      </c>
      <c r="L23" s="21">
        <f t="shared" si="5"/>
        <v>0</v>
      </c>
      <c r="M23" s="17">
        <f t="shared" si="6"/>
        <v>0</v>
      </c>
      <c r="N23" s="25">
        <f t="shared" si="7"/>
        <v>0</v>
      </c>
      <c r="O23" s="30">
        <f t="shared" si="8"/>
        <v>0</v>
      </c>
    </row>
    <row r="24" spans="2:15" ht="15" customHeight="1" x14ac:dyDescent="0.25">
      <c r="B24" s="5" t="s">
        <v>48</v>
      </c>
      <c r="C24" s="7" t="s">
        <v>70</v>
      </c>
      <c r="D24" s="7" t="s">
        <v>85</v>
      </c>
      <c r="E24" s="7" t="s">
        <v>88</v>
      </c>
      <c r="F24" s="44">
        <v>210503</v>
      </c>
      <c r="G24" s="17">
        <f t="shared" si="0"/>
        <v>269</v>
      </c>
      <c r="H24" s="25">
        <f t="shared" si="1"/>
        <v>16</v>
      </c>
      <c r="I24" s="21">
        <f t="shared" si="2"/>
        <v>5.9479553903345721</v>
      </c>
      <c r="J24" s="37">
        <f t="shared" si="3"/>
        <v>13</v>
      </c>
      <c r="K24" s="25">
        <f t="shared" si="4"/>
        <v>4.8327137546468402</v>
      </c>
      <c r="L24" s="21">
        <f t="shared" si="5"/>
        <v>3</v>
      </c>
      <c r="M24" s="17">
        <f t="shared" si="6"/>
        <v>1.1152416356877324</v>
      </c>
      <c r="N24" s="25">
        <f t="shared" si="7"/>
        <v>0</v>
      </c>
      <c r="O24" s="30">
        <f t="shared" si="8"/>
        <v>0</v>
      </c>
    </row>
    <row r="25" spans="2:15" ht="15" customHeight="1" x14ac:dyDescent="0.25">
      <c r="B25" s="5" t="s">
        <v>48</v>
      </c>
      <c r="C25" s="7" t="s">
        <v>70</v>
      </c>
      <c r="D25" s="7" t="s">
        <v>89</v>
      </c>
      <c r="E25" s="7" t="s">
        <v>89</v>
      </c>
      <c r="F25" s="44">
        <v>210601</v>
      </c>
      <c r="G25" s="17">
        <f t="shared" si="0"/>
        <v>816</v>
      </c>
      <c r="H25" s="25">
        <f t="shared" si="1"/>
        <v>187</v>
      </c>
      <c r="I25" s="21">
        <f t="shared" si="2"/>
        <v>22.916666666666664</v>
      </c>
      <c r="J25" s="37">
        <f t="shared" si="3"/>
        <v>129</v>
      </c>
      <c r="K25" s="25">
        <f t="shared" si="4"/>
        <v>15.808823529411764</v>
      </c>
      <c r="L25" s="21">
        <f t="shared" si="5"/>
        <v>55</v>
      </c>
      <c r="M25" s="17">
        <f t="shared" si="6"/>
        <v>6.7401960784313726</v>
      </c>
      <c r="N25" s="25">
        <f t="shared" si="7"/>
        <v>3</v>
      </c>
      <c r="O25" s="30">
        <f t="shared" si="8"/>
        <v>0.36764705882352938</v>
      </c>
    </row>
    <row r="26" spans="2:15" ht="15" customHeight="1" x14ac:dyDescent="0.25">
      <c r="B26" s="5" t="s">
        <v>48</v>
      </c>
      <c r="C26" s="7" t="s">
        <v>70</v>
      </c>
      <c r="D26" s="7" t="s">
        <v>89</v>
      </c>
      <c r="E26" s="7" t="s">
        <v>90</v>
      </c>
      <c r="F26" s="44">
        <v>210602</v>
      </c>
      <c r="G26" s="17">
        <f t="shared" si="0"/>
        <v>148</v>
      </c>
      <c r="H26" s="25">
        <f t="shared" si="1"/>
        <v>11</v>
      </c>
      <c r="I26" s="21">
        <f t="shared" si="2"/>
        <v>7.4324324324324325</v>
      </c>
      <c r="J26" s="37">
        <f t="shared" si="3"/>
        <v>6</v>
      </c>
      <c r="K26" s="25">
        <f t="shared" si="4"/>
        <v>4.0540540540540544</v>
      </c>
      <c r="L26" s="21">
        <f t="shared" si="5"/>
        <v>5</v>
      </c>
      <c r="M26" s="17">
        <f t="shared" si="6"/>
        <v>3.3783783783783785</v>
      </c>
      <c r="N26" s="25">
        <f t="shared" si="7"/>
        <v>0</v>
      </c>
      <c r="O26" s="30">
        <f t="shared" si="8"/>
        <v>0</v>
      </c>
    </row>
    <row r="27" spans="2:15" ht="15" customHeight="1" x14ac:dyDescent="0.25">
      <c r="B27" s="5" t="s">
        <v>48</v>
      </c>
      <c r="C27" s="7" t="s">
        <v>70</v>
      </c>
      <c r="D27" s="7" t="s">
        <v>89</v>
      </c>
      <c r="E27" s="7" t="s">
        <v>91</v>
      </c>
      <c r="F27" s="44">
        <v>210605</v>
      </c>
      <c r="G27" s="17">
        <f t="shared" si="0"/>
        <v>196</v>
      </c>
      <c r="H27" s="25">
        <f t="shared" si="1"/>
        <v>1</v>
      </c>
      <c r="I27" s="21">
        <f t="shared" si="2"/>
        <v>0.51020408163265307</v>
      </c>
      <c r="J27" s="37">
        <f t="shared" si="3"/>
        <v>1</v>
      </c>
      <c r="K27" s="25">
        <f t="shared" si="4"/>
        <v>0.51020408163265307</v>
      </c>
      <c r="L27" s="21">
        <f t="shared" si="5"/>
        <v>0</v>
      </c>
      <c r="M27" s="17">
        <f t="shared" si="6"/>
        <v>0</v>
      </c>
      <c r="N27" s="25">
        <f t="shared" si="7"/>
        <v>0</v>
      </c>
      <c r="O27" s="30">
        <f t="shared" si="8"/>
        <v>0</v>
      </c>
    </row>
    <row r="28" spans="2:15" ht="15" customHeight="1" x14ac:dyDescent="0.25">
      <c r="B28" s="5" t="s">
        <v>48</v>
      </c>
      <c r="C28" s="7" t="s">
        <v>70</v>
      </c>
      <c r="D28" s="7" t="s">
        <v>89</v>
      </c>
      <c r="E28" s="7" t="s">
        <v>92</v>
      </c>
      <c r="F28" s="44">
        <v>210607</v>
      </c>
      <c r="G28" s="17">
        <f t="shared" si="0"/>
        <v>540</v>
      </c>
      <c r="H28" s="25">
        <f t="shared" si="1"/>
        <v>57</v>
      </c>
      <c r="I28" s="21">
        <f t="shared" si="2"/>
        <v>10.555555555555555</v>
      </c>
      <c r="J28" s="37">
        <f t="shared" si="3"/>
        <v>53</v>
      </c>
      <c r="K28" s="25">
        <f t="shared" si="4"/>
        <v>9.8148148148148149</v>
      </c>
      <c r="L28" s="21">
        <f t="shared" si="5"/>
        <v>4</v>
      </c>
      <c r="M28" s="17">
        <f t="shared" si="6"/>
        <v>0.74074074074074081</v>
      </c>
      <c r="N28" s="25">
        <f t="shared" si="7"/>
        <v>0</v>
      </c>
      <c r="O28" s="30">
        <f t="shared" si="8"/>
        <v>0</v>
      </c>
    </row>
    <row r="29" spans="2:15" ht="15" customHeight="1" x14ac:dyDescent="0.25">
      <c r="B29" s="5" t="s">
        <v>48</v>
      </c>
      <c r="C29" s="7" t="s">
        <v>70</v>
      </c>
      <c r="D29" s="7" t="s">
        <v>89</v>
      </c>
      <c r="E29" s="7" t="s">
        <v>93</v>
      </c>
      <c r="F29" s="44">
        <v>210608</v>
      </c>
      <c r="G29" s="17">
        <f t="shared" si="0"/>
        <v>207</v>
      </c>
      <c r="H29" s="25">
        <f t="shared" si="1"/>
        <v>12</v>
      </c>
      <c r="I29" s="21">
        <f t="shared" si="2"/>
        <v>5.7971014492753623</v>
      </c>
      <c r="J29" s="37">
        <f t="shared" si="3"/>
        <v>12</v>
      </c>
      <c r="K29" s="25">
        <f t="shared" si="4"/>
        <v>5.7971014492753623</v>
      </c>
      <c r="L29" s="21">
        <f t="shared" si="5"/>
        <v>0</v>
      </c>
      <c r="M29" s="17">
        <f t="shared" si="6"/>
        <v>0</v>
      </c>
      <c r="N29" s="25">
        <f t="shared" si="7"/>
        <v>0</v>
      </c>
      <c r="O29" s="30">
        <f t="shared" si="8"/>
        <v>0</v>
      </c>
    </row>
    <row r="30" spans="2:15" ht="15" customHeight="1" x14ac:dyDescent="0.25">
      <c r="B30" s="5" t="s">
        <v>48</v>
      </c>
      <c r="C30" s="7" t="s">
        <v>70</v>
      </c>
      <c r="D30" s="7" t="s">
        <v>94</v>
      </c>
      <c r="E30" s="7" t="s">
        <v>94</v>
      </c>
      <c r="F30" s="44">
        <v>210901</v>
      </c>
      <c r="G30" s="17">
        <f t="shared" si="0"/>
        <v>493</v>
      </c>
      <c r="H30" s="25">
        <f t="shared" si="1"/>
        <v>25</v>
      </c>
      <c r="I30" s="21">
        <f t="shared" si="2"/>
        <v>5.0709939148073024</v>
      </c>
      <c r="J30" s="37">
        <f t="shared" si="3"/>
        <v>24</v>
      </c>
      <c r="K30" s="25">
        <f t="shared" si="4"/>
        <v>4.8681541582150096</v>
      </c>
      <c r="L30" s="21">
        <f t="shared" si="5"/>
        <v>1</v>
      </c>
      <c r="M30" s="17">
        <f t="shared" si="6"/>
        <v>0.20283975659229209</v>
      </c>
      <c r="N30" s="25">
        <f t="shared" si="7"/>
        <v>0</v>
      </c>
      <c r="O30" s="30">
        <f t="shared" si="8"/>
        <v>0</v>
      </c>
    </row>
    <row r="31" spans="2:15" ht="15" customHeight="1" x14ac:dyDescent="0.25">
      <c r="B31" s="5" t="s">
        <v>48</v>
      </c>
      <c r="C31" s="7" t="s">
        <v>70</v>
      </c>
      <c r="D31" s="7" t="s">
        <v>94</v>
      </c>
      <c r="E31" s="7" t="s">
        <v>95</v>
      </c>
      <c r="F31" s="44">
        <v>210902</v>
      </c>
      <c r="G31" s="17">
        <f t="shared" si="0"/>
        <v>101</v>
      </c>
      <c r="H31" s="25">
        <f t="shared" si="1"/>
        <v>15</v>
      </c>
      <c r="I31" s="21">
        <f t="shared" si="2"/>
        <v>14.85148514851485</v>
      </c>
      <c r="J31" s="37">
        <f t="shared" si="3"/>
        <v>12</v>
      </c>
      <c r="K31" s="25">
        <f t="shared" si="4"/>
        <v>11.881188118811881</v>
      </c>
      <c r="L31" s="21">
        <f t="shared" si="5"/>
        <v>3</v>
      </c>
      <c r="M31" s="17">
        <f t="shared" si="6"/>
        <v>2.9702970297029703</v>
      </c>
      <c r="N31" s="25">
        <f t="shared" si="7"/>
        <v>0</v>
      </c>
      <c r="O31" s="30">
        <f t="shared" si="8"/>
        <v>0</v>
      </c>
    </row>
    <row r="32" spans="2:15" ht="15" customHeight="1" x14ac:dyDescent="0.25">
      <c r="B32" s="5" t="s">
        <v>48</v>
      </c>
      <c r="C32" s="7" t="s">
        <v>70</v>
      </c>
      <c r="D32" s="7" t="s">
        <v>94</v>
      </c>
      <c r="E32" s="7" t="s">
        <v>96</v>
      </c>
      <c r="F32" s="44">
        <v>210903</v>
      </c>
      <c r="G32" s="17">
        <f t="shared" si="0"/>
        <v>126</v>
      </c>
      <c r="H32" s="25">
        <f t="shared" si="1"/>
        <v>7</v>
      </c>
      <c r="I32" s="21">
        <f t="shared" si="2"/>
        <v>5.5555555555555554</v>
      </c>
      <c r="J32" s="37">
        <f t="shared" si="3"/>
        <v>7</v>
      </c>
      <c r="K32" s="25">
        <f t="shared" si="4"/>
        <v>5.5555555555555554</v>
      </c>
      <c r="L32" s="21">
        <f t="shared" si="5"/>
        <v>0</v>
      </c>
      <c r="M32" s="17">
        <f t="shared" si="6"/>
        <v>0</v>
      </c>
      <c r="N32" s="25">
        <f t="shared" si="7"/>
        <v>0</v>
      </c>
      <c r="O32" s="30">
        <f t="shared" si="8"/>
        <v>0</v>
      </c>
    </row>
    <row r="33" spans="2:15" ht="15" customHeight="1" x14ac:dyDescent="0.25">
      <c r="B33" s="5" t="s">
        <v>48</v>
      </c>
      <c r="C33" s="7" t="s">
        <v>70</v>
      </c>
      <c r="D33" s="7" t="s">
        <v>94</v>
      </c>
      <c r="E33" s="7" t="s">
        <v>97</v>
      </c>
      <c r="F33" s="44">
        <v>210904</v>
      </c>
      <c r="G33" s="17">
        <f t="shared" si="0"/>
        <v>105</v>
      </c>
      <c r="H33" s="25">
        <f t="shared" si="1"/>
        <v>11</v>
      </c>
      <c r="I33" s="21">
        <f t="shared" si="2"/>
        <v>10.476190476190476</v>
      </c>
      <c r="J33" s="37">
        <f t="shared" si="3"/>
        <v>10</v>
      </c>
      <c r="K33" s="25">
        <f t="shared" si="4"/>
        <v>9.5238095238095237</v>
      </c>
      <c r="L33" s="21">
        <f t="shared" si="5"/>
        <v>1</v>
      </c>
      <c r="M33" s="17">
        <f t="shared" si="6"/>
        <v>0.95238095238095244</v>
      </c>
      <c r="N33" s="25">
        <f t="shared" si="7"/>
        <v>0</v>
      </c>
      <c r="O33" s="30">
        <f t="shared" si="8"/>
        <v>0</v>
      </c>
    </row>
    <row r="34" spans="2:15" ht="15" customHeight="1" x14ac:dyDescent="0.25">
      <c r="B34" s="5" t="s">
        <v>48</v>
      </c>
      <c r="C34" s="7" t="s">
        <v>70</v>
      </c>
      <c r="D34" s="7" t="s">
        <v>98</v>
      </c>
      <c r="E34" s="7" t="s">
        <v>99</v>
      </c>
      <c r="F34" s="44">
        <v>211002</v>
      </c>
      <c r="G34" s="17">
        <f t="shared" si="0"/>
        <v>149</v>
      </c>
      <c r="H34" s="25">
        <f t="shared" si="1"/>
        <v>20</v>
      </c>
      <c r="I34" s="21">
        <f t="shared" si="2"/>
        <v>13.422818791946309</v>
      </c>
      <c r="J34" s="37">
        <f t="shared" si="3"/>
        <v>18</v>
      </c>
      <c r="K34" s="25">
        <f t="shared" si="4"/>
        <v>12.080536912751679</v>
      </c>
      <c r="L34" s="21">
        <f t="shared" si="5"/>
        <v>1</v>
      </c>
      <c r="M34" s="17">
        <f t="shared" si="6"/>
        <v>0.67114093959731547</v>
      </c>
      <c r="N34" s="25">
        <f t="shared" si="7"/>
        <v>1</v>
      </c>
      <c r="O34" s="30">
        <f t="shared" si="8"/>
        <v>0.67114093959731547</v>
      </c>
    </row>
    <row r="35" spans="2:15" ht="15" customHeight="1" x14ac:dyDescent="0.25">
      <c r="B35" s="5" t="s">
        <v>48</v>
      </c>
      <c r="C35" s="7" t="s">
        <v>70</v>
      </c>
      <c r="D35" s="7" t="s">
        <v>98</v>
      </c>
      <c r="E35" s="7" t="s">
        <v>100</v>
      </c>
      <c r="F35" s="44">
        <v>211005</v>
      </c>
      <c r="G35" s="17">
        <f t="shared" si="0"/>
        <v>82</v>
      </c>
      <c r="H35" s="25">
        <f t="shared" si="1"/>
        <v>0</v>
      </c>
      <c r="I35" s="21">
        <f t="shared" si="2"/>
        <v>0</v>
      </c>
      <c r="J35" s="37">
        <f t="shared" si="3"/>
        <v>0</v>
      </c>
      <c r="K35" s="25">
        <f t="shared" si="4"/>
        <v>0</v>
      </c>
      <c r="L35" s="21">
        <f t="shared" si="5"/>
        <v>0</v>
      </c>
      <c r="M35" s="17">
        <f t="shared" si="6"/>
        <v>0</v>
      </c>
      <c r="N35" s="25">
        <f t="shared" si="7"/>
        <v>0</v>
      </c>
      <c r="O35" s="30">
        <f t="shared" si="8"/>
        <v>0</v>
      </c>
    </row>
    <row r="36" spans="2:15" ht="15" customHeight="1" x14ac:dyDescent="0.25">
      <c r="B36" s="5" t="s">
        <v>48</v>
      </c>
      <c r="C36" s="7" t="s">
        <v>70</v>
      </c>
      <c r="D36" s="7" t="s">
        <v>101</v>
      </c>
      <c r="E36" s="7" t="s">
        <v>102</v>
      </c>
      <c r="F36" s="44">
        <v>211207</v>
      </c>
      <c r="G36" s="17">
        <f t="shared" si="0"/>
        <v>161</v>
      </c>
      <c r="H36" s="25">
        <f t="shared" si="1"/>
        <v>68</v>
      </c>
      <c r="I36" s="21">
        <f t="shared" si="2"/>
        <v>42.236024844720497</v>
      </c>
      <c r="J36" s="37">
        <f t="shared" si="3"/>
        <v>44</v>
      </c>
      <c r="K36" s="25">
        <f t="shared" si="4"/>
        <v>27.329192546583851</v>
      </c>
      <c r="L36" s="21">
        <f t="shared" si="5"/>
        <v>24</v>
      </c>
      <c r="M36" s="17">
        <f t="shared" si="6"/>
        <v>14.906832298136646</v>
      </c>
      <c r="N36" s="25">
        <f t="shared" si="7"/>
        <v>0</v>
      </c>
      <c r="O36" s="30">
        <f t="shared" si="8"/>
        <v>0</v>
      </c>
    </row>
    <row r="37" spans="2:15" ht="15" customHeight="1" x14ac:dyDescent="0.25">
      <c r="B37" s="5" t="s">
        <v>48</v>
      </c>
      <c r="C37" s="7" t="s">
        <v>70</v>
      </c>
      <c r="D37" s="7" t="s">
        <v>101</v>
      </c>
      <c r="E37" s="7" t="s">
        <v>103</v>
      </c>
      <c r="F37" s="44">
        <v>211208</v>
      </c>
      <c r="G37" s="17">
        <f t="shared" si="0"/>
        <v>79</v>
      </c>
      <c r="H37" s="25">
        <f t="shared" si="1"/>
        <v>31</v>
      </c>
      <c r="I37" s="21">
        <f t="shared" si="2"/>
        <v>39.24050632911392</v>
      </c>
      <c r="J37" s="37">
        <f t="shared" si="3"/>
        <v>28</v>
      </c>
      <c r="K37" s="25">
        <f t="shared" si="4"/>
        <v>35.443037974683541</v>
      </c>
      <c r="L37" s="21">
        <f t="shared" si="5"/>
        <v>3</v>
      </c>
      <c r="M37" s="17">
        <f t="shared" si="6"/>
        <v>3.79746835443038</v>
      </c>
      <c r="N37" s="25">
        <f t="shared" si="7"/>
        <v>0</v>
      </c>
      <c r="O37" s="30">
        <f t="shared" si="8"/>
        <v>0</v>
      </c>
    </row>
    <row r="38" spans="2:15" ht="15" customHeight="1" x14ac:dyDescent="0.25">
      <c r="B38" s="5" t="s">
        <v>48</v>
      </c>
      <c r="C38" s="7" t="s">
        <v>70</v>
      </c>
      <c r="D38" s="7" t="s">
        <v>101</v>
      </c>
      <c r="E38" s="7" t="s">
        <v>104</v>
      </c>
      <c r="F38" s="44">
        <v>211210</v>
      </c>
      <c r="G38" s="17">
        <f t="shared" si="0"/>
        <v>483</v>
      </c>
      <c r="H38" s="25">
        <f t="shared" si="1"/>
        <v>157</v>
      </c>
      <c r="I38" s="21">
        <f t="shared" si="2"/>
        <v>32.50517598343685</v>
      </c>
      <c r="J38" s="37">
        <f t="shared" si="3"/>
        <v>111</v>
      </c>
      <c r="K38" s="25">
        <f t="shared" si="4"/>
        <v>22.981366459627328</v>
      </c>
      <c r="L38" s="21">
        <f t="shared" si="5"/>
        <v>46</v>
      </c>
      <c r="M38" s="17">
        <f t="shared" si="6"/>
        <v>9.5238095238095237</v>
      </c>
      <c r="N38" s="25">
        <f t="shared" si="7"/>
        <v>0</v>
      </c>
      <c r="O38" s="30">
        <f t="shared" si="8"/>
        <v>0</v>
      </c>
    </row>
    <row r="39" spans="2:15" ht="15" customHeight="1" x14ac:dyDescent="0.25">
      <c r="B39" s="5" t="s">
        <v>48</v>
      </c>
      <c r="C39" s="7" t="s">
        <v>70</v>
      </c>
      <c r="D39" s="7" t="s">
        <v>105</v>
      </c>
      <c r="E39" s="7" t="s">
        <v>105</v>
      </c>
      <c r="F39" s="44">
        <v>211301</v>
      </c>
      <c r="G39" s="17">
        <f t="shared" si="0"/>
        <v>1017</v>
      </c>
      <c r="H39" s="25">
        <f t="shared" si="1"/>
        <v>233</v>
      </c>
      <c r="I39" s="21">
        <f t="shared" si="2"/>
        <v>22.910521140609635</v>
      </c>
      <c r="J39" s="37">
        <f t="shared" si="3"/>
        <v>194</v>
      </c>
      <c r="K39" s="25">
        <f t="shared" si="4"/>
        <v>19.075712881022618</v>
      </c>
      <c r="L39" s="21">
        <f t="shared" si="5"/>
        <v>38</v>
      </c>
      <c r="M39" s="17">
        <f t="shared" si="6"/>
        <v>3.7364798426745329</v>
      </c>
      <c r="N39" s="25">
        <f t="shared" si="7"/>
        <v>1</v>
      </c>
      <c r="O39" s="30">
        <f t="shared" si="8"/>
        <v>9.8328416912487712E-2</v>
      </c>
    </row>
    <row r="40" spans="2:15" ht="15" customHeight="1" x14ac:dyDescent="0.25">
      <c r="B40" s="5" t="s">
        <v>48</v>
      </c>
      <c r="C40" s="7" t="s">
        <v>70</v>
      </c>
      <c r="D40" s="7" t="s">
        <v>105</v>
      </c>
      <c r="E40" s="7" t="s">
        <v>106</v>
      </c>
      <c r="F40" s="44">
        <v>211302</v>
      </c>
      <c r="G40" s="17">
        <f t="shared" si="0"/>
        <v>46</v>
      </c>
      <c r="H40" s="25">
        <f t="shared" si="1"/>
        <v>2</v>
      </c>
      <c r="I40" s="21">
        <f t="shared" si="2"/>
        <v>4.3478260869565215</v>
      </c>
      <c r="J40" s="37">
        <f t="shared" si="3"/>
        <v>1</v>
      </c>
      <c r="K40" s="25">
        <f t="shared" si="4"/>
        <v>2.1739130434782608</v>
      </c>
      <c r="L40" s="21">
        <f t="shared" si="5"/>
        <v>1</v>
      </c>
      <c r="M40" s="17">
        <f t="shared" si="6"/>
        <v>2.1739130434782608</v>
      </c>
      <c r="N40" s="25">
        <f t="shared" si="7"/>
        <v>0</v>
      </c>
      <c r="O40" s="30">
        <f t="shared" si="8"/>
        <v>0</v>
      </c>
    </row>
    <row r="41" spans="2:15" ht="15" customHeight="1" x14ac:dyDescent="0.25">
      <c r="B41" s="5" t="s">
        <v>48</v>
      </c>
      <c r="C41" s="7" t="s">
        <v>70</v>
      </c>
      <c r="D41" s="7" t="s">
        <v>105</v>
      </c>
      <c r="E41" s="7" t="s">
        <v>107</v>
      </c>
      <c r="F41" s="44">
        <v>211303</v>
      </c>
      <c r="G41" s="17">
        <f t="shared" si="0"/>
        <v>171</v>
      </c>
      <c r="H41" s="25">
        <f t="shared" si="1"/>
        <v>34</v>
      </c>
      <c r="I41" s="21">
        <f t="shared" si="2"/>
        <v>19.883040935672515</v>
      </c>
      <c r="J41" s="37">
        <f t="shared" si="3"/>
        <v>29</v>
      </c>
      <c r="K41" s="25">
        <f t="shared" si="4"/>
        <v>16.959064327485379</v>
      </c>
      <c r="L41" s="21">
        <f t="shared" si="5"/>
        <v>5</v>
      </c>
      <c r="M41" s="17">
        <f t="shared" si="6"/>
        <v>2.9239766081871341</v>
      </c>
      <c r="N41" s="25">
        <f t="shared" si="7"/>
        <v>0</v>
      </c>
      <c r="O41" s="30">
        <f t="shared" si="8"/>
        <v>0</v>
      </c>
    </row>
    <row r="42" spans="2:15" ht="15" customHeight="1" x14ac:dyDescent="0.25">
      <c r="B42" s="5" t="s">
        <v>48</v>
      </c>
      <c r="C42" s="7" t="s">
        <v>70</v>
      </c>
      <c r="D42" s="7" t="s">
        <v>105</v>
      </c>
      <c r="E42" s="7" t="s">
        <v>108</v>
      </c>
      <c r="F42" s="44">
        <v>211304</v>
      </c>
      <c r="G42" s="17">
        <f t="shared" si="0"/>
        <v>37</v>
      </c>
      <c r="H42" s="25">
        <f t="shared" si="1"/>
        <v>1</v>
      </c>
      <c r="I42" s="21">
        <f t="shared" si="2"/>
        <v>2.7027027027027026</v>
      </c>
      <c r="J42" s="37">
        <f t="shared" si="3"/>
        <v>1</v>
      </c>
      <c r="K42" s="25">
        <f t="shared" si="4"/>
        <v>2.7027027027027026</v>
      </c>
      <c r="L42" s="21">
        <f t="shared" si="5"/>
        <v>0</v>
      </c>
      <c r="M42" s="17">
        <f t="shared" si="6"/>
        <v>0</v>
      </c>
      <c r="N42" s="25">
        <f t="shared" si="7"/>
        <v>0</v>
      </c>
      <c r="O42" s="30">
        <f t="shared" si="8"/>
        <v>0</v>
      </c>
    </row>
    <row r="43" spans="2:15" ht="15" customHeight="1" x14ac:dyDescent="0.25">
      <c r="B43" s="5" t="s">
        <v>48</v>
      </c>
      <c r="C43" s="7" t="s">
        <v>70</v>
      </c>
      <c r="D43" s="7" t="s">
        <v>105</v>
      </c>
      <c r="E43" s="7" t="s">
        <v>109</v>
      </c>
      <c r="F43" s="44">
        <v>211305</v>
      </c>
      <c r="G43" s="17">
        <f t="shared" si="0"/>
        <v>55</v>
      </c>
      <c r="H43" s="25">
        <f t="shared" si="1"/>
        <v>7</v>
      </c>
      <c r="I43" s="21">
        <f t="shared" si="2"/>
        <v>12.727272727272727</v>
      </c>
      <c r="J43" s="37">
        <f t="shared" si="3"/>
        <v>4</v>
      </c>
      <c r="K43" s="25">
        <f t="shared" si="4"/>
        <v>7.2727272727272725</v>
      </c>
      <c r="L43" s="21">
        <f t="shared" si="5"/>
        <v>3</v>
      </c>
      <c r="M43" s="17">
        <f t="shared" si="6"/>
        <v>5.4545454545454541</v>
      </c>
      <c r="N43" s="25">
        <f t="shared" si="7"/>
        <v>0</v>
      </c>
      <c r="O43" s="30">
        <f t="shared" si="8"/>
        <v>0</v>
      </c>
    </row>
    <row r="44" spans="2:15" ht="15" customHeight="1" x14ac:dyDescent="0.25">
      <c r="B44" s="5" t="s">
        <v>48</v>
      </c>
      <c r="C44" s="7" t="s">
        <v>70</v>
      </c>
      <c r="D44" s="7" t="s">
        <v>105</v>
      </c>
      <c r="E44" s="7" t="s">
        <v>110</v>
      </c>
      <c r="F44" s="44">
        <v>211306</v>
      </c>
      <c r="G44" s="17">
        <f t="shared" si="0"/>
        <v>32</v>
      </c>
      <c r="H44" s="25">
        <f t="shared" si="1"/>
        <v>1</v>
      </c>
      <c r="I44" s="21">
        <f t="shared" si="2"/>
        <v>3.125</v>
      </c>
      <c r="J44" s="37">
        <f t="shared" si="3"/>
        <v>0</v>
      </c>
      <c r="K44" s="25">
        <f t="shared" si="4"/>
        <v>0</v>
      </c>
      <c r="L44" s="21">
        <f t="shared" si="5"/>
        <v>1</v>
      </c>
      <c r="M44" s="17">
        <f t="shared" si="6"/>
        <v>3.125</v>
      </c>
      <c r="N44" s="25">
        <f t="shared" si="7"/>
        <v>0</v>
      </c>
      <c r="O44" s="30">
        <f t="shared" si="8"/>
        <v>0</v>
      </c>
    </row>
    <row r="45" spans="2:15" ht="15" customHeight="1" x14ac:dyDescent="0.25">
      <c r="B45" s="5" t="s">
        <v>48</v>
      </c>
      <c r="C45" s="7" t="s">
        <v>70</v>
      </c>
      <c r="D45" s="7" t="s">
        <v>105</v>
      </c>
      <c r="E45" s="7" t="s">
        <v>111</v>
      </c>
      <c r="F45" s="44">
        <v>211307</v>
      </c>
      <c r="G45" s="17">
        <f t="shared" si="0"/>
        <v>30</v>
      </c>
      <c r="H45" s="25">
        <f t="shared" si="1"/>
        <v>4</v>
      </c>
      <c r="I45" s="21">
        <f t="shared" si="2"/>
        <v>13.333333333333334</v>
      </c>
      <c r="J45" s="37">
        <f t="shared" si="3"/>
        <v>4</v>
      </c>
      <c r="K45" s="25">
        <f t="shared" si="4"/>
        <v>13.333333333333334</v>
      </c>
      <c r="L45" s="21">
        <f t="shared" si="5"/>
        <v>0</v>
      </c>
      <c r="M45" s="17">
        <f t="shared" si="6"/>
        <v>0</v>
      </c>
      <c r="N45" s="25">
        <f t="shared" si="7"/>
        <v>0</v>
      </c>
      <c r="O45" s="30">
        <f t="shared" si="8"/>
        <v>0</v>
      </c>
    </row>
    <row r="46" spans="2:15" ht="15" customHeight="1" x14ac:dyDescent="0.25">
      <c r="B46" s="5" t="s">
        <v>48</v>
      </c>
      <c r="C46" s="7" t="s">
        <v>112</v>
      </c>
      <c r="D46" s="7" t="s">
        <v>112</v>
      </c>
      <c r="E46" s="7" t="s">
        <v>113</v>
      </c>
      <c r="F46" s="44">
        <v>230107</v>
      </c>
      <c r="G46" s="17">
        <f t="shared" si="0"/>
        <v>64</v>
      </c>
      <c r="H46" s="25">
        <f t="shared" si="1"/>
        <v>21</v>
      </c>
      <c r="I46" s="21">
        <f t="shared" si="2"/>
        <v>32.8125</v>
      </c>
      <c r="J46" s="37">
        <f t="shared" si="3"/>
        <v>7</v>
      </c>
      <c r="K46" s="25">
        <f t="shared" si="4"/>
        <v>10.9375</v>
      </c>
      <c r="L46" s="21">
        <f t="shared" si="5"/>
        <v>14</v>
      </c>
      <c r="M46" s="17">
        <f t="shared" si="6"/>
        <v>21.875</v>
      </c>
      <c r="N46" s="25">
        <f t="shared" si="7"/>
        <v>0</v>
      </c>
      <c r="O46" s="30">
        <f t="shared" si="8"/>
        <v>0</v>
      </c>
    </row>
    <row r="47" spans="2:15" ht="15" customHeight="1" thickBot="1" x14ac:dyDescent="0.3">
      <c r="B47" s="5" t="s">
        <v>48</v>
      </c>
      <c r="C47" s="7" t="s">
        <v>112</v>
      </c>
      <c r="D47" s="7" t="s">
        <v>114</v>
      </c>
      <c r="E47" s="7" t="s">
        <v>114</v>
      </c>
      <c r="F47" s="44">
        <v>230401</v>
      </c>
      <c r="G47" s="17">
        <f t="shared" si="0"/>
        <v>107</v>
      </c>
      <c r="H47" s="25">
        <f t="shared" si="1"/>
        <v>43</v>
      </c>
      <c r="I47" s="21">
        <f t="shared" si="2"/>
        <v>40.186915887850468</v>
      </c>
      <c r="J47" s="37">
        <f t="shared" si="3"/>
        <v>21</v>
      </c>
      <c r="K47" s="25">
        <f t="shared" si="4"/>
        <v>19.626168224299064</v>
      </c>
      <c r="L47" s="21">
        <f t="shared" si="5"/>
        <v>22</v>
      </c>
      <c r="M47" s="17">
        <f t="shared" si="6"/>
        <v>20.5607476635514</v>
      </c>
      <c r="N47" s="25">
        <f t="shared" si="7"/>
        <v>0</v>
      </c>
      <c r="O47" s="30">
        <f t="shared" si="8"/>
        <v>0</v>
      </c>
    </row>
    <row r="48" spans="2:15" ht="15" customHeight="1" thickBot="1" x14ac:dyDescent="0.3">
      <c r="B48" s="81"/>
      <c r="C48" s="71"/>
      <c r="D48" s="71" t="str">
        <f>UPPER(_xlfn.CONCAT("Total ",B47))</f>
        <v>TOTAL ZONA ALTIPLÁNICA</v>
      </c>
      <c r="E48" s="71"/>
      <c r="F48" s="82"/>
      <c r="G48" s="19">
        <f>SUM(G7:G47)</f>
        <v>15936</v>
      </c>
      <c r="H48" s="27">
        <f>SUM(H7:H47)</f>
        <v>2651</v>
      </c>
      <c r="I48" s="23">
        <f>H48/G48*100</f>
        <v>16.635291164658632</v>
      </c>
      <c r="J48" s="39">
        <f>SUM(J7:J47)</f>
        <v>2130</v>
      </c>
      <c r="K48" s="27">
        <f>SUM(K7:K47)</f>
        <v>506.09370316727188</v>
      </c>
      <c r="L48" s="23">
        <f>SUM(L7:L47)</f>
        <v>501</v>
      </c>
      <c r="M48" s="19">
        <f>SUM(M7:M47)</f>
        <v>162.3568741765348</v>
      </c>
      <c r="N48" s="27">
        <f>SUM(N7:N47)</f>
        <v>20</v>
      </c>
      <c r="O48" s="34">
        <f>N48/M48*100</f>
        <v>12.318542163021373</v>
      </c>
    </row>
    <row r="49" spans="2:15" ht="15" customHeight="1" x14ac:dyDescent="0.25">
      <c r="B49" s="5" t="s">
        <v>115</v>
      </c>
      <c r="C49" s="7" t="s">
        <v>116</v>
      </c>
      <c r="D49" s="7" t="s">
        <v>117</v>
      </c>
      <c r="E49" s="7" t="s">
        <v>118</v>
      </c>
      <c r="F49" s="44">
        <v>170301</v>
      </c>
      <c r="G49" s="17">
        <f>IFERROR(VLOOKUP($F49,distrito659,2,0),"-")</f>
        <v>76</v>
      </c>
      <c r="H49" s="25">
        <f>IFERROR(VLOOKUP($F49,distrito659,3,0),"-")</f>
        <v>8</v>
      </c>
      <c r="I49" s="21">
        <f>IFERROR(VLOOKUP($F49,distrito659,4,0),"-")</f>
        <v>10.526315789473683</v>
      </c>
      <c r="J49" s="37">
        <f>IFERROR(VLOOKUP($F49,distrito659,5,0),"-")</f>
        <v>6</v>
      </c>
      <c r="K49" s="25">
        <f>IFERROR(VLOOKUP($F49,distrito659,6,0),"-")</f>
        <v>7.8947368421052628</v>
      </c>
      <c r="L49" s="21">
        <f>IFERROR(VLOOKUP($F49,distrito659,7,0),"-")</f>
        <v>1</v>
      </c>
      <c r="M49" s="17">
        <f>IFERROR(VLOOKUP($F49,distrito659,8,0),"-")</f>
        <v>1.3157894736842104</v>
      </c>
      <c r="N49" s="25">
        <f>IFERROR(VLOOKUP($F49,distrito659,9,0),"-")</f>
        <v>1</v>
      </c>
      <c r="O49" s="30">
        <f>IFERROR(VLOOKUP($F49,distrito659,10,0),"-")</f>
        <v>1.3157894736842104</v>
      </c>
    </row>
    <row r="50" spans="2:15" ht="15" customHeight="1" x14ac:dyDescent="0.25">
      <c r="B50" s="5" t="s">
        <v>115</v>
      </c>
      <c r="C50" s="7" t="s">
        <v>116</v>
      </c>
      <c r="D50" s="7" t="s">
        <v>117</v>
      </c>
      <c r="E50" s="7" t="s">
        <v>119</v>
      </c>
      <c r="F50" s="44">
        <v>170302</v>
      </c>
      <c r="G50" s="17">
        <f>IFERROR(VLOOKUP($F50,distrito659,2,0),"-")</f>
        <v>399</v>
      </c>
      <c r="H50" s="25">
        <f>IFERROR(VLOOKUP($F50,distrito659,3,0),"-")</f>
        <v>95</v>
      </c>
      <c r="I50" s="21">
        <f>IFERROR(VLOOKUP($F50,distrito659,4,0),"-")</f>
        <v>23.809523809523807</v>
      </c>
      <c r="J50" s="37">
        <f>IFERROR(VLOOKUP($F50,distrito659,5,0),"-")</f>
        <v>71</v>
      </c>
      <c r="K50" s="25">
        <f>IFERROR(VLOOKUP($F50,distrito659,6,0),"-")</f>
        <v>17.794486215538846</v>
      </c>
      <c r="L50" s="21">
        <f>IFERROR(VLOOKUP($F50,distrito659,7,0),"-")</f>
        <v>24</v>
      </c>
      <c r="M50" s="17">
        <f>IFERROR(VLOOKUP($F50,distrito659,8,0),"-")</f>
        <v>6.0150375939849621</v>
      </c>
      <c r="N50" s="25">
        <f>IFERROR(VLOOKUP($F50,distrito659,9,0),"-")</f>
        <v>0</v>
      </c>
      <c r="O50" s="30">
        <f>IFERROR(VLOOKUP($F50,distrito659,10,0),"-")</f>
        <v>0</v>
      </c>
    </row>
    <row r="51" spans="2:15" ht="15" customHeight="1" x14ac:dyDescent="0.25">
      <c r="B51" s="5" t="s">
        <v>115</v>
      </c>
      <c r="C51" s="7" t="s">
        <v>116</v>
      </c>
      <c r="D51" s="7" t="s">
        <v>117</v>
      </c>
      <c r="E51" s="7" t="s">
        <v>117</v>
      </c>
      <c r="F51" s="44">
        <v>170303</v>
      </c>
      <c r="G51" s="17">
        <f>IFERROR(VLOOKUP($F51,distrito659,2,0),"-")</f>
        <v>326</v>
      </c>
      <c r="H51" s="25">
        <f>IFERROR(VLOOKUP($F51,distrito659,3,0),"-")</f>
        <v>43</v>
      </c>
      <c r="I51" s="21">
        <f>IFERROR(VLOOKUP($F51,distrito659,4,0),"-")</f>
        <v>13.190184049079754</v>
      </c>
      <c r="J51" s="37">
        <f>IFERROR(VLOOKUP($F51,distrito659,5,0),"-")</f>
        <v>33</v>
      </c>
      <c r="K51" s="25">
        <f>IFERROR(VLOOKUP($F51,distrito659,6,0),"-")</f>
        <v>10.122699386503067</v>
      </c>
      <c r="L51" s="21">
        <f>IFERROR(VLOOKUP($F51,distrito659,7,0),"-")</f>
        <v>10</v>
      </c>
      <c r="M51" s="17">
        <f>IFERROR(VLOOKUP($F51,distrito659,8,0),"-")</f>
        <v>3.0674846625766872</v>
      </c>
      <c r="N51" s="25">
        <f>IFERROR(VLOOKUP($F51,distrito659,9,0),"-")</f>
        <v>0</v>
      </c>
      <c r="O51" s="30">
        <f>IFERROR(VLOOKUP($F51,distrito659,10,0),"-")</f>
        <v>0</v>
      </c>
    </row>
    <row r="52" spans="2:15" ht="15" customHeight="1" x14ac:dyDescent="0.25">
      <c r="B52" s="5" t="s">
        <v>115</v>
      </c>
      <c r="C52" s="7" t="s">
        <v>116</v>
      </c>
      <c r="D52" s="7" t="s">
        <v>120</v>
      </c>
      <c r="E52" s="7" t="s">
        <v>120</v>
      </c>
      <c r="F52" s="44">
        <v>170101</v>
      </c>
      <c r="G52" s="17">
        <f>IFERROR(VLOOKUP($F52,distrito659,2,0),"-")</f>
        <v>4190</v>
      </c>
      <c r="H52" s="25">
        <f>IFERROR(VLOOKUP($F52,distrito659,3,0),"-")</f>
        <v>487</v>
      </c>
      <c r="I52" s="21">
        <f>IFERROR(VLOOKUP($F52,distrito659,4,0),"-")</f>
        <v>11.622911694510741</v>
      </c>
      <c r="J52" s="37">
        <f>IFERROR(VLOOKUP($F52,distrito659,5,0),"-")</f>
        <v>356</v>
      </c>
      <c r="K52" s="25">
        <f>IFERROR(VLOOKUP($F52,distrito659,6,0),"-")</f>
        <v>8.4964200477326965</v>
      </c>
      <c r="L52" s="21">
        <f>IFERROR(VLOOKUP($F52,distrito659,7,0),"-")</f>
        <v>131</v>
      </c>
      <c r="M52" s="17">
        <f>IFERROR(VLOOKUP($F52,distrito659,8,0),"-")</f>
        <v>3.1264916467780428</v>
      </c>
      <c r="N52" s="25">
        <f>IFERROR(VLOOKUP($F52,distrito659,9,0),"-")</f>
        <v>0</v>
      </c>
      <c r="O52" s="30">
        <f>IFERROR(VLOOKUP($F52,distrito659,10,0),"-")</f>
        <v>0</v>
      </c>
    </row>
    <row r="53" spans="2:15" ht="15" customHeight="1" thickBot="1" x14ac:dyDescent="0.3">
      <c r="B53" s="5" t="s">
        <v>115</v>
      </c>
      <c r="C53" s="7" t="s">
        <v>116</v>
      </c>
      <c r="D53" s="7" t="s">
        <v>120</v>
      </c>
      <c r="E53" s="7" t="s">
        <v>121</v>
      </c>
      <c r="F53" s="44">
        <v>170103</v>
      </c>
      <c r="G53" s="17">
        <f>IFERROR(VLOOKUP($F53,distrito659,2,0),"-")</f>
        <v>1073</v>
      </c>
      <c r="H53" s="25">
        <f>IFERROR(VLOOKUP($F53,distrito659,3,0),"-")</f>
        <v>124</v>
      </c>
      <c r="I53" s="21">
        <f>IFERROR(VLOOKUP($F53,distrito659,4,0),"-")</f>
        <v>11.556383970177073</v>
      </c>
      <c r="J53" s="37">
        <f>IFERROR(VLOOKUP($F53,distrito659,5,0),"-")</f>
        <v>105</v>
      </c>
      <c r="K53" s="25">
        <f>IFERROR(VLOOKUP($F53,distrito659,6,0),"-")</f>
        <v>9.7856477166821989</v>
      </c>
      <c r="L53" s="21">
        <f>IFERROR(VLOOKUP($F53,distrito659,7,0),"-")</f>
        <v>19</v>
      </c>
      <c r="M53" s="17">
        <f>IFERROR(VLOOKUP($F53,distrito659,8,0),"-")</f>
        <v>1.7707362534948743</v>
      </c>
      <c r="N53" s="25">
        <f>IFERROR(VLOOKUP($F53,distrito659,9,0),"-")</f>
        <v>0</v>
      </c>
      <c r="O53" s="30">
        <f>IFERROR(VLOOKUP($F53,distrito659,10,0),"-")</f>
        <v>0</v>
      </c>
    </row>
    <row r="54" spans="2:15" ht="15" customHeight="1" thickBot="1" x14ac:dyDescent="0.3">
      <c r="B54" s="81"/>
      <c r="C54" s="71"/>
      <c r="D54" s="71" t="str">
        <f>UPPER(_xlfn.CONCAT("Total ",B53))</f>
        <v>TOTAL ZONA AMAZÓNICA ARTICULADA</v>
      </c>
      <c r="E54" s="71"/>
      <c r="F54" s="82"/>
      <c r="G54" s="19">
        <f>SUM(G49:G53)</f>
        <v>6064</v>
      </c>
      <c r="H54" s="27">
        <f>SUM(H49:H53)</f>
        <v>757</v>
      </c>
      <c r="I54" s="23">
        <f>H54/G54*100</f>
        <v>12.483509234828496</v>
      </c>
      <c r="J54" s="39">
        <f>SUM(J49:J53)</f>
        <v>571</v>
      </c>
      <c r="K54" s="27">
        <f>SUM(K49:K53)</f>
        <v>54.093990208562076</v>
      </c>
      <c r="L54" s="23">
        <f>SUM(L49:L53)</f>
        <v>185</v>
      </c>
      <c r="M54" s="19">
        <f>SUM(M49:M53)</f>
        <v>15.295539630518777</v>
      </c>
      <c r="N54" s="27">
        <f>SUM(N49:N53)</f>
        <v>1</v>
      </c>
      <c r="O54" s="34">
        <f>N54/M54*100</f>
        <v>6.5378536760136736</v>
      </c>
    </row>
    <row r="55" spans="2:15" ht="15" customHeight="1" x14ac:dyDescent="0.25">
      <c r="B55" s="5" t="s">
        <v>122</v>
      </c>
      <c r="C55" s="7" t="s">
        <v>123</v>
      </c>
      <c r="D55" s="7" t="s">
        <v>124</v>
      </c>
      <c r="E55" s="7" t="s">
        <v>125</v>
      </c>
      <c r="F55" s="44">
        <v>10205</v>
      </c>
      <c r="G55" s="17">
        <f t="shared" ref="G55:G75" si="9">IFERROR(VLOOKUP($F55,distrito659,2,0),"-")</f>
        <v>5490</v>
      </c>
      <c r="H55" s="25">
        <f t="shared" ref="H55:H75" si="10">IFERROR(VLOOKUP($F55,distrito659,3,0),"-")</f>
        <v>646</v>
      </c>
      <c r="I55" s="21">
        <f t="shared" ref="I55:I75" si="11">IFERROR(VLOOKUP($F55,distrito659,4,0),"-")</f>
        <v>11.766848816029144</v>
      </c>
      <c r="J55" s="37">
        <f t="shared" ref="J55:J75" si="12">IFERROR(VLOOKUP($F55,distrito659,5,0),"-")</f>
        <v>515</v>
      </c>
      <c r="K55" s="25">
        <f t="shared" ref="K55:K75" si="13">IFERROR(VLOOKUP($F55,distrito659,6,0),"-")</f>
        <v>9.3806921675774131</v>
      </c>
      <c r="L55" s="21">
        <f t="shared" ref="L55:L75" si="14">IFERROR(VLOOKUP($F55,distrito659,7,0),"-")</f>
        <v>128</v>
      </c>
      <c r="M55" s="17">
        <f t="shared" ref="M55:M75" si="15">IFERROR(VLOOKUP($F55,distrito659,8,0),"-")</f>
        <v>2.3315118397085612</v>
      </c>
      <c r="N55" s="25">
        <f t="shared" ref="N55:N75" si="16">IFERROR(VLOOKUP($F55,distrito659,9,0),"-")</f>
        <v>3</v>
      </c>
      <c r="O55" s="30">
        <f t="shared" ref="O55:O75" si="17">IFERROR(VLOOKUP($F55,distrito659,10,0),"-")</f>
        <v>5.4644808743169397E-2</v>
      </c>
    </row>
    <row r="56" spans="2:15" ht="15" customHeight="1" x14ac:dyDescent="0.25">
      <c r="B56" s="5" t="s">
        <v>122</v>
      </c>
      <c r="C56" s="7" t="s">
        <v>123</v>
      </c>
      <c r="D56" s="7" t="s">
        <v>126</v>
      </c>
      <c r="E56" s="7" t="s">
        <v>127</v>
      </c>
      <c r="F56" s="44">
        <v>10402</v>
      </c>
      <c r="G56" s="17">
        <f t="shared" si="9"/>
        <v>1965</v>
      </c>
      <c r="H56" s="25">
        <f t="shared" si="10"/>
        <v>231</v>
      </c>
      <c r="I56" s="21">
        <f t="shared" si="11"/>
        <v>11.755725190839694</v>
      </c>
      <c r="J56" s="37">
        <f t="shared" si="12"/>
        <v>185</v>
      </c>
      <c r="K56" s="25">
        <f t="shared" si="13"/>
        <v>9.4147582697201013</v>
      </c>
      <c r="L56" s="21">
        <f t="shared" si="14"/>
        <v>46</v>
      </c>
      <c r="M56" s="17">
        <f t="shared" si="15"/>
        <v>2.3409669211195929</v>
      </c>
      <c r="N56" s="25">
        <f t="shared" si="16"/>
        <v>0</v>
      </c>
      <c r="O56" s="30">
        <f t="shared" si="17"/>
        <v>0</v>
      </c>
    </row>
    <row r="57" spans="2:15" ht="15" customHeight="1" x14ac:dyDescent="0.25">
      <c r="B57" s="5" t="s">
        <v>122</v>
      </c>
      <c r="C57" s="7" t="s">
        <v>123</v>
      </c>
      <c r="D57" s="7" t="s">
        <v>126</v>
      </c>
      <c r="E57" s="7" t="s">
        <v>128</v>
      </c>
      <c r="F57" s="44">
        <v>10403</v>
      </c>
      <c r="G57" s="17">
        <f t="shared" si="9"/>
        <v>2859</v>
      </c>
      <c r="H57" s="25">
        <f t="shared" si="10"/>
        <v>368</v>
      </c>
      <c r="I57" s="21">
        <f t="shared" si="11"/>
        <v>12.871633438265128</v>
      </c>
      <c r="J57" s="37">
        <f t="shared" si="12"/>
        <v>274</v>
      </c>
      <c r="K57" s="25">
        <f t="shared" si="13"/>
        <v>9.5837705491430576</v>
      </c>
      <c r="L57" s="21">
        <f t="shared" si="14"/>
        <v>92</v>
      </c>
      <c r="M57" s="17">
        <f t="shared" si="15"/>
        <v>3.2179083595662821</v>
      </c>
      <c r="N57" s="25">
        <f t="shared" si="16"/>
        <v>2</v>
      </c>
      <c r="O57" s="30">
        <f t="shared" si="17"/>
        <v>6.9954529555788736E-2</v>
      </c>
    </row>
    <row r="58" spans="2:15" ht="15" customHeight="1" x14ac:dyDescent="0.25">
      <c r="B58" s="5" t="s">
        <v>122</v>
      </c>
      <c r="C58" s="7" t="s">
        <v>129</v>
      </c>
      <c r="D58" s="7" t="s">
        <v>130</v>
      </c>
      <c r="E58" s="7" t="s">
        <v>131</v>
      </c>
      <c r="F58" s="44">
        <v>160704</v>
      </c>
      <c r="G58" s="17">
        <f t="shared" si="9"/>
        <v>992</v>
      </c>
      <c r="H58" s="25">
        <f t="shared" si="10"/>
        <v>158</v>
      </c>
      <c r="I58" s="21">
        <f t="shared" si="11"/>
        <v>15.92741935483871</v>
      </c>
      <c r="J58" s="37">
        <f t="shared" si="12"/>
        <v>129</v>
      </c>
      <c r="K58" s="25">
        <f t="shared" si="13"/>
        <v>13.004032258064516</v>
      </c>
      <c r="L58" s="21">
        <f t="shared" si="14"/>
        <v>29</v>
      </c>
      <c r="M58" s="17">
        <f t="shared" si="15"/>
        <v>2.9233870967741935</v>
      </c>
      <c r="N58" s="25">
        <f t="shared" si="16"/>
        <v>0</v>
      </c>
      <c r="O58" s="30">
        <f t="shared" si="17"/>
        <v>0</v>
      </c>
    </row>
    <row r="59" spans="2:15" ht="15" customHeight="1" x14ac:dyDescent="0.25">
      <c r="B59" s="5" t="s">
        <v>122</v>
      </c>
      <c r="C59" s="7" t="s">
        <v>129</v>
      </c>
      <c r="D59" s="7" t="s">
        <v>130</v>
      </c>
      <c r="E59" s="7" t="s">
        <v>132</v>
      </c>
      <c r="F59" s="44">
        <v>160706</v>
      </c>
      <c r="G59" s="17">
        <f t="shared" si="9"/>
        <v>997</v>
      </c>
      <c r="H59" s="25">
        <f t="shared" si="10"/>
        <v>279</v>
      </c>
      <c r="I59" s="21">
        <f t="shared" si="11"/>
        <v>27.983951855566701</v>
      </c>
      <c r="J59" s="37">
        <f t="shared" si="12"/>
        <v>220</v>
      </c>
      <c r="K59" s="25">
        <f t="shared" si="13"/>
        <v>22.066198595787363</v>
      </c>
      <c r="L59" s="21">
        <f t="shared" si="14"/>
        <v>56</v>
      </c>
      <c r="M59" s="17">
        <f t="shared" si="15"/>
        <v>5.6168505516549647</v>
      </c>
      <c r="N59" s="25">
        <f t="shared" si="16"/>
        <v>3</v>
      </c>
      <c r="O59" s="30">
        <f t="shared" si="17"/>
        <v>0.30090270812437309</v>
      </c>
    </row>
    <row r="60" spans="2:15" ht="15" customHeight="1" x14ac:dyDescent="0.25">
      <c r="B60" s="5" t="s">
        <v>122</v>
      </c>
      <c r="C60" s="7" t="s">
        <v>129</v>
      </c>
      <c r="D60" s="7" t="s">
        <v>133</v>
      </c>
      <c r="E60" s="7" t="s">
        <v>134</v>
      </c>
      <c r="F60" s="44">
        <v>160107</v>
      </c>
      <c r="G60" s="17">
        <f t="shared" si="9"/>
        <v>1272</v>
      </c>
      <c r="H60" s="25">
        <f t="shared" si="10"/>
        <v>188</v>
      </c>
      <c r="I60" s="21">
        <f t="shared" si="11"/>
        <v>14.779874213836477</v>
      </c>
      <c r="J60" s="37">
        <f t="shared" si="12"/>
        <v>150</v>
      </c>
      <c r="K60" s="25">
        <f t="shared" si="13"/>
        <v>11.79245283018868</v>
      </c>
      <c r="L60" s="21">
        <f t="shared" si="14"/>
        <v>34</v>
      </c>
      <c r="M60" s="17">
        <f t="shared" si="15"/>
        <v>2.6729559748427674</v>
      </c>
      <c r="N60" s="25">
        <f t="shared" si="16"/>
        <v>4</v>
      </c>
      <c r="O60" s="30">
        <f t="shared" si="17"/>
        <v>0.31446540880503149</v>
      </c>
    </row>
    <row r="61" spans="2:15" ht="15" customHeight="1" x14ac:dyDescent="0.25">
      <c r="B61" s="5" t="s">
        <v>122</v>
      </c>
      <c r="C61" s="7" t="s">
        <v>129</v>
      </c>
      <c r="D61" s="7" t="s">
        <v>133</v>
      </c>
      <c r="E61" s="7" t="s">
        <v>135</v>
      </c>
      <c r="F61" s="44">
        <v>160110</v>
      </c>
      <c r="G61" s="17">
        <f t="shared" si="9"/>
        <v>713</v>
      </c>
      <c r="H61" s="25">
        <f t="shared" si="10"/>
        <v>52</v>
      </c>
      <c r="I61" s="21">
        <f t="shared" si="11"/>
        <v>7.2931276297335206</v>
      </c>
      <c r="J61" s="37">
        <f t="shared" si="12"/>
        <v>45</v>
      </c>
      <c r="K61" s="25">
        <f t="shared" si="13"/>
        <v>6.3113604488078536</v>
      </c>
      <c r="L61" s="21">
        <f t="shared" si="14"/>
        <v>7</v>
      </c>
      <c r="M61" s="17">
        <f t="shared" si="15"/>
        <v>0.98176718092566617</v>
      </c>
      <c r="N61" s="25">
        <f t="shared" si="16"/>
        <v>0</v>
      </c>
      <c r="O61" s="30">
        <f t="shared" si="17"/>
        <v>0</v>
      </c>
    </row>
    <row r="62" spans="2:15" ht="15" customHeight="1" x14ac:dyDescent="0.25">
      <c r="B62" s="5" t="s">
        <v>122</v>
      </c>
      <c r="C62" s="7" t="s">
        <v>129</v>
      </c>
      <c r="D62" s="7" t="s">
        <v>129</v>
      </c>
      <c r="E62" s="7" t="s">
        <v>136</v>
      </c>
      <c r="F62" s="44">
        <v>160303</v>
      </c>
      <c r="G62" s="17">
        <f t="shared" si="9"/>
        <v>539</v>
      </c>
      <c r="H62" s="25">
        <f t="shared" si="10"/>
        <v>117</v>
      </c>
      <c r="I62" s="21">
        <f t="shared" si="11"/>
        <v>21.706864564007422</v>
      </c>
      <c r="J62" s="37">
        <f t="shared" si="12"/>
        <v>82</v>
      </c>
      <c r="K62" s="25">
        <f t="shared" si="13"/>
        <v>15.213358070500927</v>
      </c>
      <c r="L62" s="21">
        <f t="shared" si="14"/>
        <v>34</v>
      </c>
      <c r="M62" s="17">
        <f t="shared" si="15"/>
        <v>6.3079777365491658</v>
      </c>
      <c r="N62" s="25">
        <f t="shared" si="16"/>
        <v>1</v>
      </c>
      <c r="O62" s="30">
        <f t="shared" si="17"/>
        <v>0.1855287569573284</v>
      </c>
    </row>
    <row r="63" spans="2:15" ht="15" customHeight="1" x14ac:dyDescent="0.25">
      <c r="B63" s="5" t="s">
        <v>122</v>
      </c>
      <c r="C63" s="7" t="s">
        <v>129</v>
      </c>
      <c r="D63" s="7" t="s">
        <v>129</v>
      </c>
      <c r="E63" s="7" t="s">
        <v>137</v>
      </c>
      <c r="F63" s="44">
        <v>160304</v>
      </c>
      <c r="G63" s="17">
        <f t="shared" si="9"/>
        <v>495</v>
      </c>
      <c r="H63" s="25">
        <f t="shared" si="10"/>
        <v>153</v>
      </c>
      <c r="I63" s="21">
        <f t="shared" si="11"/>
        <v>30.909090909090907</v>
      </c>
      <c r="J63" s="37">
        <f t="shared" si="12"/>
        <v>94</v>
      </c>
      <c r="K63" s="25">
        <f t="shared" si="13"/>
        <v>18.98989898989899</v>
      </c>
      <c r="L63" s="21">
        <f t="shared" si="14"/>
        <v>58</v>
      </c>
      <c r="M63" s="17">
        <f t="shared" si="15"/>
        <v>11.717171717171718</v>
      </c>
      <c r="N63" s="25">
        <f t="shared" si="16"/>
        <v>1</v>
      </c>
      <c r="O63" s="30">
        <f t="shared" si="17"/>
        <v>0.20202020202020202</v>
      </c>
    </row>
    <row r="64" spans="2:15" ht="15" customHeight="1" x14ac:dyDescent="0.25">
      <c r="B64" s="5" t="s">
        <v>122</v>
      </c>
      <c r="C64" s="7" t="s">
        <v>129</v>
      </c>
      <c r="D64" s="7" t="s">
        <v>138</v>
      </c>
      <c r="E64" s="7" t="s">
        <v>139</v>
      </c>
      <c r="F64" s="44">
        <v>160401</v>
      </c>
      <c r="G64" s="17">
        <f t="shared" si="9"/>
        <v>1250</v>
      </c>
      <c r="H64" s="25">
        <f t="shared" si="10"/>
        <v>231</v>
      </c>
      <c r="I64" s="21">
        <f t="shared" si="11"/>
        <v>18.48</v>
      </c>
      <c r="J64" s="37">
        <f t="shared" si="12"/>
        <v>170</v>
      </c>
      <c r="K64" s="25">
        <f t="shared" si="13"/>
        <v>13.600000000000001</v>
      </c>
      <c r="L64" s="21">
        <f t="shared" si="14"/>
        <v>61</v>
      </c>
      <c r="M64" s="17">
        <f t="shared" si="15"/>
        <v>4.88</v>
      </c>
      <c r="N64" s="25">
        <f t="shared" si="16"/>
        <v>0</v>
      </c>
      <c r="O64" s="30">
        <f t="shared" si="17"/>
        <v>0</v>
      </c>
    </row>
    <row r="65" spans="2:15" ht="15" customHeight="1" x14ac:dyDescent="0.25">
      <c r="B65" s="5" t="s">
        <v>122</v>
      </c>
      <c r="C65" s="7" t="s">
        <v>129</v>
      </c>
      <c r="D65" s="7" t="s">
        <v>138</v>
      </c>
      <c r="E65" s="7" t="s">
        <v>140</v>
      </c>
      <c r="F65" s="44">
        <v>160403</v>
      </c>
      <c r="G65" s="17">
        <f t="shared" si="9"/>
        <v>691</v>
      </c>
      <c r="H65" s="25">
        <f t="shared" si="10"/>
        <v>172</v>
      </c>
      <c r="I65" s="21">
        <f t="shared" si="11"/>
        <v>24.891461649782922</v>
      </c>
      <c r="J65" s="37">
        <f t="shared" si="12"/>
        <v>124</v>
      </c>
      <c r="K65" s="25">
        <f t="shared" si="13"/>
        <v>17.945007235890014</v>
      </c>
      <c r="L65" s="21">
        <f t="shared" si="14"/>
        <v>48</v>
      </c>
      <c r="M65" s="17">
        <f t="shared" si="15"/>
        <v>6.9464544138929094</v>
      </c>
      <c r="N65" s="25">
        <f t="shared" si="16"/>
        <v>0</v>
      </c>
      <c r="O65" s="30">
        <f t="shared" si="17"/>
        <v>0</v>
      </c>
    </row>
    <row r="66" spans="2:15" ht="15" customHeight="1" x14ac:dyDescent="0.25">
      <c r="B66" s="5" t="s">
        <v>122</v>
      </c>
      <c r="C66" s="7" t="s">
        <v>129</v>
      </c>
      <c r="D66" s="7" t="s">
        <v>141</v>
      </c>
      <c r="E66" s="7" t="s">
        <v>142</v>
      </c>
      <c r="F66" s="44">
        <v>160511</v>
      </c>
      <c r="G66" s="17">
        <f t="shared" si="9"/>
        <v>198</v>
      </c>
      <c r="H66" s="25">
        <f t="shared" si="10"/>
        <v>48</v>
      </c>
      <c r="I66" s="21">
        <f t="shared" si="11"/>
        <v>24.242424242424242</v>
      </c>
      <c r="J66" s="37">
        <f t="shared" si="12"/>
        <v>34</v>
      </c>
      <c r="K66" s="25">
        <f t="shared" si="13"/>
        <v>17.171717171717169</v>
      </c>
      <c r="L66" s="21">
        <f t="shared" si="14"/>
        <v>14</v>
      </c>
      <c r="M66" s="17">
        <f t="shared" si="15"/>
        <v>7.0707070707070701</v>
      </c>
      <c r="N66" s="25">
        <f t="shared" si="16"/>
        <v>0</v>
      </c>
      <c r="O66" s="30">
        <f t="shared" si="17"/>
        <v>0</v>
      </c>
    </row>
    <row r="67" spans="2:15" ht="15" customHeight="1" x14ac:dyDescent="0.25">
      <c r="B67" s="5" t="s">
        <v>122</v>
      </c>
      <c r="C67" s="7" t="s">
        <v>129</v>
      </c>
      <c r="D67" s="7" t="s">
        <v>143</v>
      </c>
      <c r="E67" s="7" t="s">
        <v>143</v>
      </c>
      <c r="F67" s="44">
        <v>160801</v>
      </c>
      <c r="G67" s="17">
        <f t="shared" si="9"/>
        <v>315</v>
      </c>
      <c r="H67" s="25">
        <f t="shared" si="10"/>
        <v>27</v>
      </c>
      <c r="I67" s="21">
        <f t="shared" si="11"/>
        <v>8.5714285714285712</v>
      </c>
      <c r="J67" s="37">
        <f t="shared" si="12"/>
        <v>25</v>
      </c>
      <c r="K67" s="25">
        <f t="shared" si="13"/>
        <v>7.9365079365079358</v>
      </c>
      <c r="L67" s="21">
        <f t="shared" si="14"/>
        <v>2</v>
      </c>
      <c r="M67" s="17">
        <f t="shared" si="15"/>
        <v>0.63492063492063489</v>
      </c>
      <c r="N67" s="25">
        <f t="shared" si="16"/>
        <v>0</v>
      </c>
      <c r="O67" s="30">
        <f t="shared" si="17"/>
        <v>0</v>
      </c>
    </row>
    <row r="68" spans="2:15" ht="15" customHeight="1" x14ac:dyDescent="0.25">
      <c r="B68" s="5" t="s">
        <v>122</v>
      </c>
      <c r="C68" s="7" t="s">
        <v>129</v>
      </c>
      <c r="D68" s="7" t="s">
        <v>143</v>
      </c>
      <c r="E68" s="7" t="s">
        <v>144</v>
      </c>
      <c r="F68" s="44">
        <v>160802</v>
      </c>
      <c r="G68" s="17">
        <f t="shared" si="9"/>
        <v>34</v>
      </c>
      <c r="H68" s="25">
        <f t="shared" si="10"/>
        <v>9</v>
      </c>
      <c r="I68" s="21">
        <f t="shared" si="11"/>
        <v>26.47058823529412</v>
      </c>
      <c r="J68" s="37">
        <f t="shared" si="12"/>
        <v>9</v>
      </c>
      <c r="K68" s="25">
        <f t="shared" si="13"/>
        <v>26.47058823529412</v>
      </c>
      <c r="L68" s="21">
        <f t="shared" si="14"/>
        <v>0</v>
      </c>
      <c r="M68" s="17">
        <f t="shared" si="15"/>
        <v>0</v>
      </c>
      <c r="N68" s="25">
        <f t="shared" si="16"/>
        <v>0</v>
      </c>
      <c r="O68" s="30">
        <f t="shared" si="17"/>
        <v>0</v>
      </c>
    </row>
    <row r="69" spans="2:15" ht="15" customHeight="1" x14ac:dyDescent="0.25">
      <c r="B69" s="5" t="s">
        <v>122</v>
      </c>
      <c r="C69" s="7" t="s">
        <v>129</v>
      </c>
      <c r="D69" s="7" t="s">
        <v>143</v>
      </c>
      <c r="E69" s="7" t="s">
        <v>145</v>
      </c>
      <c r="F69" s="44">
        <v>160803</v>
      </c>
      <c r="G69" s="17">
        <f t="shared" si="9"/>
        <v>197</v>
      </c>
      <c r="H69" s="25">
        <f t="shared" si="10"/>
        <v>72</v>
      </c>
      <c r="I69" s="21">
        <f t="shared" si="11"/>
        <v>36.548223350253807</v>
      </c>
      <c r="J69" s="37">
        <f t="shared" si="12"/>
        <v>41</v>
      </c>
      <c r="K69" s="25">
        <f t="shared" si="13"/>
        <v>20.812182741116754</v>
      </c>
      <c r="L69" s="21">
        <f t="shared" si="14"/>
        <v>31</v>
      </c>
      <c r="M69" s="17">
        <f t="shared" si="15"/>
        <v>15.736040609137056</v>
      </c>
      <c r="N69" s="25">
        <f t="shared" si="16"/>
        <v>0</v>
      </c>
      <c r="O69" s="30">
        <f t="shared" si="17"/>
        <v>0</v>
      </c>
    </row>
    <row r="70" spans="2:15" ht="15" customHeight="1" x14ac:dyDescent="0.25">
      <c r="B70" s="5" t="s">
        <v>122</v>
      </c>
      <c r="C70" s="7" t="s">
        <v>129</v>
      </c>
      <c r="D70" s="7" t="s">
        <v>143</v>
      </c>
      <c r="E70" s="7" t="s">
        <v>146</v>
      </c>
      <c r="F70" s="44">
        <v>160804</v>
      </c>
      <c r="G70" s="17">
        <f t="shared" si="9"/>
        <v>101</v>
      </c>
      <c r="H70" s="25">
        <f t="shared" si="10"/>
        <v>7</v>
      </c>
      <c r="I70" s="21">
        <f t="shared" si="11"/>
        <v>6.9306930693069315</v>
      </c>
      <c r="J70" s="37">
        <f t="shared" si="12"/>
        <v>4</v>
      </c>
      <c r="K70" s="25">
        <f t="shared" si="13"/>
        <v>3.9603960396039604</v>
      </c>
      <c r="L70" s="21">
        <f t="shared" si="14"/>
        <v>3</v>
      </c>
      <c r="M70" s="17">
        <f t="shared" si="15"/>
        <v>2.9702970297029703</v>
      </c>
      <c r="N70" s="25">
        <f t="shared" si="16"/>
        <v>0</v>
      </c>
      <c r="O70" s="30">
        <f t="shared" si="17"/>
        <v>0</v>
      </c>
    </row>
    <row r="71" spans="2:15" ht="15" customHeight="1" x14ac:dyDescent="0.25">
      <c r="B71" s="5" t="s">
        <v>122</v>
      </c>
      <c r="C71" s="7" t="s">
        <v>129</v>
      </c>
      <c r="D71" s="7" t="s">
        <v>141</v>
      </c>
      <c r="E71" s="7" t="s">
        <v>147</v>
      </c>
      <c r="F71" s="44">
        <v>160502</v>
      </c>
      <c r="G71" s="17" t="str">
        <f t="shared" si="9"/>
        <v>-</v>
      </c>
      <c r="H71" s="25" t="str">
        <f t="shared" si="10"/>
        <v>-</v>
      </c>
      <c r="I71" s="21" t="str">
        <f t="shared" si="11"/>
        <v>-</v>
      </c>
      <c r="J71" s="37" t="str">
        <f t="shared" si="12"/>
        <v>-</v>
      </c>
      <c r="K71" s="25" t="str">
        <f t="shared" si="13"/>
        <v>-</v>
      </c>
      <c r="L71" s="21" t="str">
        <f t="shared" si="14"/>
        <v>-</v>
      </c>
      <c r="M71" s="17" t="str">
        <f t="shared" si="15"/>
        <v>-</v>
      </c>
      <c r="N71" s="25" t="str">
        <f t="shared" si="16"/>
        <v>-</v>
      </c>
      <c r="O71" s="30" t="str">
        <f t="shared" si="17"/>
        <v>-</v>
      </c>
    </row>
    <row r="72" spans="2:15" ht="15" customHeight="1" x14ac:dyDescent="0.25">
      <c r="B72" s="5" t="s">
        <v>122</v>
      </c>
      <c r="C72" s="7" t="s">
        <v>148</v>
      </c>
      <c r="D72" s="7" t="s">
        <v>149</v>
      </c>
      <c r="E72" s="7" t="s">
        <v>150</v>
      </c>
      <c r="F72" s="44">
        <v>250101</v>
      </c>
      <c r="G72" s="17">
        <f t="shared" si="9"/>
        <v>7586</v>
      </c>
      <c r="H72" s="25">
        <f t="shared" si="10"/>
        <v>1215</v>
      </c>
      <c r="I72" s="21">
        <f t="shared" si="11"/>
        <v>16.016345900342738</v>
      </c>
      <c r="J72" s="37">
        <f t="shared" si="12"/>
        <v>957</v>
      </c>
      <c r="K72" s="25">
        <f t="shared" si="13"/>
        <v>12.615344054837859</v>
      </c>
      <c r="L72" s="21">
        <f t="shared" si="14"/>
        <v>256</v>
      </c>
      <c r="M72" s="17">
        <f t="shared" si="15"/>
        <v>3.3746374901133671</v>
      </c>
      <c r="N72" s="25">
        <f t="shared" si="16"/>
        <v>2</v>
      </c>
      <c r="O72" s="30">
        <f t="shared" si="17"/>
        <v>2.6364355391510681E-2</v>
      </c>
    </row>
    <row r="73" spans="2:15" ht="15" customHeight="1" x14ac:dyDescent="0.25">
      <c r="B73" s="5" t="s">
        <v>122</v>
      </c>
      <c r="C73" s="7" t="s">
        <v>148</v>
      </c>
      <c r="D73" s="7" t="s">
        <v>149</v>
      </c>
      <c r="E73" s="7" t="s">
        <v>151</v>
      </c>
      <c r="F73" s="44">
        <v>250104</v>
      </c>
      <c r="G73" s="17">
        <f t="shared" si="9"/>
        <v>1093</v>
      </c>
      <c r="H73" s="25">
        <f t="shared" si="10"/>
        <v>261</v>
      </c>
      <c r="I73" s="21">
        <f t="shared" si="11"/>
        <v>23.879231473010066</v>
      </c>
      <c r="J73" s="37">
        <f t="shared" si="12"/>
        <v>186</v>
      </c>
      <c r="K73" s="25">
        <f t="shared" si="13"/>
        <v>17.017383348581884</v>
      </c>
      <c r="L73" s="21">
        <f t="shared" si="14"/>
        <v>75</v>
      </c>
      <c r="M73" s="17">
        <f t="shared" si="15"/>
        <v>6.8618481244281799</v>
      </c>
      <c r="N73" s="25">
        <f t="shared" si="16"/>
        <v>0</v>
      </c>
      <c r="O73" s="30">
        <f t="shared" si="17"/>
        <v>0</v>
      </c>
    </row>
    <row r="74" spans="2:15" ht="15" customHeight="1" x14ac:dyDescent="0.25">
      <c r="B74" s="5" t="s">
        <v>122</v>
      </c>
      <c r="C74" s="7" t="s">
        <v>148</v>
      </c>
      <c r="D74" s="7" t="s">
        <v>152</v>
      </c>
      <c r="E74" s="7" t="s">
        <v>153</v>
      </c>
      <c r="F74" s="44">
        <v>250204</v>
      </c>
      <c r="G74" s="17">
        <f t="shared" si="9"/>
        <v>285</v>
      </c>
      <c r="H74" s="25">
        <f t="shared" si="10"/>
        <v>115</v>
      </c>
      <c r="I74" s="21">
        <f t="shared" si="11"/>
        <v>40.350877192982452</v>
      </c>
      <c r="J74" s="37">
        <f t="shared" si="12"/>
        <v>76</v>
      </c>
      <c r="K74" s="25">
        <f t="shared" si="13"/>
        <v>26.666666666666668</v>
      </c>
      <c r="L74" s="21">
        <f t="shared" si="14"/>
        <v>38</v>
      </c>
      <c r="M74" s="17">
        <f t="shared" si="15"/>
        <v>13.333333333333334</v>
      </c>
      <c r="N74" s="25">
        <f t="shared" si="16"/>
        <v>1</v>
      </c>
      <c r="O74" s="30">
        <f t="shared" si="17"/>
        <v>0.35087719298245612</v>
      </c>
    </row>
    <row r="75" spans="2:15" ht="15" customHeight="1" thickBot="1" x14ac:dyDescent="0.3">
      <c r="B75" s="5" t="s">
        <v>122</v>
      </c>
      <c r="C75" s="7" t="s">
        <v>148</v>
      </c>
      <c r="D75" s="7" t="s">
        <v>154</v>
      </c>
      <c r="E75" s="7" t="s">
        <v>154</v>
      </c>
      <c r="F75" s="44">
        <v>250401</v>
      </c>
      <c r="G75" s="17">
        <f t="shared" si="9"/>
        <v>209</v>
      </c>
      <c r="H75" s="25">
        <f t="shared" si="10"/>
        <v>54</v>
      </c>
      <c r="I75" s="21">
        <f t="shared" si="11"/>
        <v>25.837320574162682</v>
      </c>
      <c r="J75" s="37">
        <f t="shared" si="12"/>
        <v>36</v>
      </c>
      <c r="K75" s="25">
        <f t="shared" si="13"/>
        <v>17.224880382775119</v>
      </c>
      <c r="L75" s="21">
        <f t="shared" si="14"/>
        <v>18</v>
      </c>
      <c r="M75" s="17">
        <f t="shared" si="15"/>
        <v>8.6124401913875595</v>
      </c>
      <c r="N75" s="25">
        <f t="shared" si="16"/>
        <v>0</v>
      </c>
      <c r="O75" s="30">
        <f t="shared" si="17"/>
        <v>0</v>
      </c>
    </row>
    <row r="76" spans="2:15" ht="15" customHeight="1" thickBot="1" x14ac:dyDescent="0.3">
      <c r="B76" s="81"/>
      <c r="C76" s="71"/>
      <c r="D76" s="71" t="str">
        <f>UPPER(_xlfn.CONCAT("Total ",B75))</f>
        <v>TOTAL ZONA AMAZÓNICA FLUVIAL</v>
      </c>
      <c r="E76" s="71"/>
      <c r="F76" s="82"/>
      <c r="G76" s="19">
        <f>SUM(G55:G75)</f>
        <v>27281</v>
      </c>
      <c r="H76" s="27">
        <f>SUM(H55:H75)</f>
        <v>4403</v>
      </c>
      <c r="I76" s="23">
        <f>H76/G76*100</f>
        <v>16.139437703896483</v>
      </c>
      <c r="J76" s="39">
        <f>SUM(J55:J75)</f>
        <v>3356</v>
      </c>
      <c r="K76" s="27">
        <f>SUM(K55:K75)</f>
        <v>297.17719599268031</v>
      </c>
      <c r="L76" s="23">
        <f>SUM(L55:L75)</f>
        <v>1030</v>
      </c>
      <c r="M76" s="19">
        <f>SUM(M55:M75)</f>
        <v>108.53117627593601</v>
      </c>
      <c r="N76" s="27">
        <f>SUM(N55:N75)</f>
        <v>17</v>
      </c>
      <c r="O76" s="34">
        <f>N76/M76*100</f>
        <v>15.663701973318897</v>
      </c>
    </row>
    <row r="77" spans="2:15" ht="15" customHeight="1" x14ac:dyDescent="0.25">
      <c r="B77" s="5" t="s">
        <v>47</v>
      </c>
      <c r="C77" s="7" t="s">
        <v>155</v>
      </c>
      <c r="D77" s="7" t="s">
        <v>156</v>
      </c>
      <c r="E77" s="7" t="s">
        <v>157</v>
      </c>
      <c r="F77" s="44">
        <v>60903</v>
      </c>
      <c r="G77" s="17">
        <f t="shared" ref="G77:G91" si="18">IFERROR(VLOOKUP($F77,distrito659,2,0),"-")</f>
        <v>1265</v>
      </c>
      <c r="H77" s="25">
        <f t="shared" ref="H77:H91" si="19">IFERROR(VLOOKUP($F77,distrito659,3,0),"-")</f>
        <v>133</v>
      </c>
      <c r="I77" s="21">
        <f t="shared" ref="I77:I91" si="20">IFERROR(VLOOKUP($F77,distrito659,4,0),"-")</f>
        <v>10.513833992094861</v>
      </c>
      <c r="J77" s="37">
        <f t="shared" ref="J77:J91" si="21">IFERROR(VLOOKUP($F77,distrito659,5,0),"-")</f>
        <v>117</v>
      </c>
      <c r="K77" s="25">
        <f t="shared" ref="K77:K91" si="22">IFERROR(VLOOKUP($F77,distrito659,6,0),"-")</f>
        <v>9.2490118577075098</v>
      </c>
      <c r="L77" s="21">
        <f t="shared" ref="L77:L91" si="23">IFERROR(VLOOKUP($F77,distrito659,7,0),"-")</f>
        <v>15</v>
      </c>
      <c r="M77" s="17">
        <f t="shared" ref="M77:M91" si="24">IFERROR(VLOOKUP($F77,distrito659,8,0),"-")</f>
        <v>1.1857707509881421</v>
      </c>
      <c r="N77" s="25">
        <f t="shared" ref="N77:N91" si="25">IFERROR(VLOOKUP($F77,distrito659,9,0),"-")</f>
        <v>1</v>
      </c>
      <c r="O77" s="30">
        <f t="shared" ref="O77:O91" si="26">IFERROR(VLOOKUP($F77,distrito659,10,0),"-")</f>
        <v>7.9051383399209488E-2</v>
      </c>
    </row>
    <row r="78" spans="2:15" ht="15" customHeight="1" x14ac:dyDescent="0.25">
      <c r="B78" s="5" t="s">
        <v>47</v>
      </c>
      <c r="C78" s="7" t="s">
        <v>155</v>
      </c>
      <c r="D78" s="7" t="s">
        <v>156</v>
      </c>
      <c r="E78" s="7" t="s">
        <v>158</v>
      </c>
      <c r="F78" s="44">
        <v>60906</v>
      </c>
      <c r="G78" s="17">
        <f t="shared" si="18"/>
        <v>1369</v>
      </c>
      <c r="H78" s="25">
        <f t="shared" si="19"/>
        <v>159</v>
      </c>
      <c r="I78" s="21">
        <f t="shared" si="20"/>
        <v>11.614317019722426</v>
      </c>
      <c r="J78" s="37">
        <f t="shared" si="21"/>
        <v>144</v>
      </c>
      <c r="K78" s="25">
        <f t="shared" si="22"/>
        <v>10.51862673484295</v>
      </c>
      <c r="L78" s="21">
        <f t="shared" si="23"/>
        <v>14</v>
      </c>
      <c r="M78" s="17">
        <f t="shared" si="24"/>
        <v>1.0226442658875092</v>
      </c>
      <c r="N78" s="25">
        <f t="shared" si="25"/>
        <v>1</v>
      </c>
      <c r="O78" s="30">
        <f t="shared" si="26"/>
        <v>7.3046018991964945E-2</v>
      </c>
    </row>
    <row r="79" spans="2:15" ht="15" customHeight="1" x14ac:dyDescent="0.25">
      <c r="B79" s="5" t="s">
        <v>47</v>
      </c>
      <c r="C79" s="7" t="s">
        <v>155</v>
      </c>
      <c r="D79" s="7" t="s">
        <v>156</v>
      </c>
      <c r="E79" s="7" t="s">
        <v>156</v>
      </c>
      <c r="F79" s="44">
        <v>60901</v>
      </c>
      <c r="G79" s="17">
        <f t="shared" si="18"/>
        <v>2425</v>
      </c>
      <c r="H79" s="25">
        <f t="shared" si="19"/>
        <v>364</v>
      </c>
      <c r="I79" s="21">
        <f t="shared" si="20"/>
        <v>15.010309278350514</v>
      </c>
      <c r="J79" s="37">
        <f t="shared" si="21"/>
        <v>302</v>
      </c>
      <c r="K79" s="25">
        <f t="shared" si="22"/>
        <v>12.453608247422681</v>
      </c>
      <c r="L79" s="21">
        <f t="shared" si="23"/>
        <v>62</v>
      </c>
      <c r="M79" s="17">
        <f t="shared" si="24"/>
        <v>2.5567010309278349</v>
      </c>
      <c r="N79" s="25">
        <f t="shared" si="25"/>
        <v>0</v>
      </c>
      <c r="O79" s="30">
        <f t="shared" si="26"/>
        <v>0</v>
      </c>
    </row>
    <row r="80" spans="2:15" ht="15" customHeight="1" x14ac:dyDescent="0.25">
      <c r="B80" s="5" t="s">
        <v>47</v>
      </c>
      <c r="C80" s="7" t="s">
        <v>155</v>
      </c>
      <c r="D80" s="7" t="s">
        <v>156</v>
      </c>
      <c r="E80" s="7" t="s">
        <v>159</v>
      </c>
      <c r="F80" s="44">
        <v>60905</v>
      </c>
      <c r="G80" s="17">
        <f t="shared" si="18"/>
        <v>812</v>
      </c>
      <c r="H80" s="25">
        <f t="shared" si="19"/>
        <v>60</v>
      </c>
      <c r="I80" s="21">
        <f t="shared" si="20"/>
        <v>7.389162561576355</v>
      </c>
      <c r="J80" s="37">
        <f t="shared" si="21"/>
        <v>52</v>
      </c>
      <c r="K80" s="25">
        <f t="shared" si="22"/>
        <v>6.403940886699508</v>
      </c>
      <c r="L80" s="21">
        <f t="shared" si="23"/>
        <v>7</v>
      </c>
      <c r="M80" s="17">
        <f t="shared" si="24"/>
        <v>0.86206896551724133</v>
      </c>
      <c r="N80" s="25">
        <f t="shared" si="25"/>
        <v>1</v>
      </c>
      <c r="O80" s="30">
        <f t="shared" si="26"/>
        <v>0.12315270935960591</v>
      </c>
    </row>
    <row r="81" spans="2:15" ht="15" customHeight="1" x14ac:dyDescent="0.25">
      <c r="B81" s="5" t="s">
        <v>47</v>
      </c>
      <c r="C81" s="7" t="s">
        <v>160</v>
      </c>
      <c r="D81" s="7" t="s">
        <v>161</v>
      </c>
      <c r="E81" s="7" t="s">
        <v>161</v>
      </c>
      <c r="F81" s="44">
        <v>200201</v>
      </c>
      <c r="G81" s="17">
        <f t="shared" si="18"/>
        <v>2127</v>
      </c>
      <c r="H81" s="25">
        <f t="shared" si="19"/>
        <v>1039</v>
      </c>
      <c r="I81" s="21">
        <f t="shared" si="20"/>
        <v>48.848142924306536</v>
      </c>
      <c r="J81" s="37">
        <f t="shared" si="21"/>
        <v>680</v>
      </c>
      <c r="K81" s="25">
        <f t="shared" si="22"/>
        <v>31.969910672308416</v>
      </c>
      <c r="L81" s="21">
        <f t="shared" si="23"/>
        <v>357</v>
      </c>
      <c r="M81" s="17">
        <f t="shared" si="24"/>
        <v>16.784203102961918</v>
      </c>
      <c r="N81" s="25">
        <f t="shared" si="25"/>
        <v>2</v>
      </c>
      <c r="O81" s="30">
        <f t="shared" si="26"/>
        <v>9.4029149036201215E-2</v>
      </c>
    </row>
    <row r="82" spans="2:15" ht="15" customHeight="1" x14ac:dyDescent="0.25">
      <c r="B82" s="5" t="s">
        <v>47</v>
      </c>
      <c r="C82" s="7" t="s">
        <v>160</v>
      </c>
      <c r="D82" s="7" t="s">
        <v>161</v>
      </c>
      <c r="E82" s="7" t="s">
        <v>162</v>
      </c>
      <c r="F82" s="44">
        <v>200203</v>
      </c>
      <c r="G82" s="17">
        <f t="shared" si="18"/>
        <v>183</v>
      </c>
      <c r="H82" s="25">
        <f t="shared" si="19"/>
        <v>43</v>
      </c>
      <c r="I82" s="21">
        <f t="shared" si="20"/>
        <v>23.497267759562842</v>
      </c>
      <c r="J82" s="37">
        <f t="shared" si="21"/>
        <v>42</v>
      </c>
      <c r="K82" s="25">
        <f t="shared" si="22"/>
        <v>22.950819672131146</v>
      </c>
      <c r="L82" s="21">
        <f t="shared" si="23"/>
        <v>1</v>
      </c>
      <c r="M82" s="17">
        <f t="shared" si="24"/>
        <v>0.54644808743169404</v>
      </c>
      <c r="N82" s="25">
        <f t="shared" si="25"/>
        <v>0</v>
      </c>
      <c r="O82" s="30">
        <f t="shared" si="26"/>
        <v>0</v>
      </c>
    </row>
    <row r="83" spans="2:15" ht="15" customHeight="1" x14ac:dyDescent="0.25">
      <c r="B83" s="5" t="s">
        <v>47</v>
      </c>
      <c r="C83" s="7" t="s">
        <v>160</v>
      </c>
      <c r="D83" s="7" t="s">
        <v>161</v>
      </c>
      <c r="E83" s="7" t="s">
        <v>163</v>
      </c>
      <c r="F83" s="44">
        <v>200210</v>
      </c>
      <c r="G83" s="17">
        <f t="shared" si="18"/>
        <v>811</v>
      </c>
      <c r="H83" s="25">
        <f t="shared" si="19"/>
        <v>34</v>
      </c>
      <c r="I83" s="21">
        <f t="shared" si="20"/>
        <v>4.1923551171393338</v>
      </c>
      <c r="J83" s="37">
        <f t="shared" si="21"/>
        <v>26</v>
      </c>
      <c r="K83" s="25">
        <f t="shared" si="22"/>
        <v>3.2059186189889024</v>
      </c>
      <c r="L83" s="21">
        <f t="shared" si="23"/>
        <v>8</v>
      </c>
      <c r="M83" s="17">
        <f t="shared" si="24"/>
        <v>0.98643649815043155</v>
      </c>
      <c r="N83" s="25">
        <f t="shared" si="25"/>
        <v>0</v>
      </c>
      <c r="O83" s="30">
        <f t="shared" si="26"/>
        <v>0</v>
      </c>
    </row>
    <row r="84" spans="2:15" ht="15" customHeight="1" x14ac:dyDescent="0.25">
      <c r="B84" s="5" t="s">
        <v>47</v>
      </c>
      <c r="C84" s="7" t="s">
        <v>160</v>
      </c>
      <c r="D84" s="7" t="s">
        <v>164</v>
      </c>
      <c r="E84" s="7" t="s">
        <v>165</v>
      </c>
      <c r="F84" s="44">
        <v>200303</v>
      </c>
      <c r="G84" s="17">
        <f t="shared" si="18"/>
        <v>866</v>
      </c>
      <c r="H84" s="25">
        <f t="shared" si="19"/>
        <v>86</v>
      </c>
      <c r="I84" s="21">
        <f t="shared" si="20"/>
        <v>9.9307159353348737</v>
      </c>
      <c r="J84" s="37">
        <f t="shared" si="21"/>
        <v>81</v>
      </c>
      <c r="K84" s="25">
        <f t="shared" si="22"/>
        <v>9.3533487297921472</v>
      </c>
      <c r="L84" s="21">
        <f t="shared" si="23"/>
        <v>5</v>
      </c>
      <c r="M84" s="17">
        <f t="shared" si="24"/>
        <v>0.57736720554272514</v>
      </c>
      <c r="N84" s="25">
        <f t="shared" si="25"/>
        <v>0</v>
      </c>
      <c r="O84" s="30">
        <f t="shared" si="26"/>
        <v>0</v>
      </c>
    </row>
    <row r="85" spans="2:15" ht="15" customHeight="1" x14ac:dyDescent="0.25">
      <c r="B85" s="5" t="s">
        <v>47</v>
      </c>
      <c r="C85" s="7" t="s">
        <v>160</v>
      </c>
      <c r="D85" s="7" t="s">
        <v>166</v>
      </c>
      <c r="E85" s="7" t="s">
        <v>167</v>
      </c>
      <c r="F85" s="44">
        <v>200604</v>
      </c>
      <c r="G85" s="17">
        <f t="shared" si="18"/>
        <v>902</v>
      </c>
      <c r="H85" s="25">
        <f t="shared" si="19"/>
        <v>16</v>
      </c>
      <c r="I85" s="21">
        <f t="shared" si="20"/>
        <v>1.7738359201773837</v>
      </c>
      <c r="J85" s="37">
        <f t="shared" si="21"/>
        <v>13</v>
      </c>
      <c r="K85" s="25">
        <f t="shared" si="22"/>
        <v>1.4412416851441241</v>
      </c>
      <c r="L85" s="21">
        <f t="shared" si="23"/>
        <v>3</v>
      </c>
      <c r="M85" s="17">
        <f t="shared" si="24"/>
        <v>0.33259423503325941</v>
      </c>
      <c r="N85" s="25">
        <f t="shared" si="25"/>
        <v>0</v>
      </c>
      <c r="O85" s="30">
        <f t="shared" si="26"/>
        <v>0</v>
      </c>
    </row>
    <row r="86" spans="2:15" ht="15" customHeight="1" x14ac:dyDescent="0.25">
      <c r="B86" s="5" t="s">
        <v>47</v>
      </c>
      <c r="C86" s="7" t="s">
        <v>168</v>
      </c>
      <c r="D86" s="7" t="s">
        <v>168</v>
      </c>
      <c r="E86" s="7" t="s">
        <v>169</v>
      </c>
      <c r="F86" s="44">
        <v>240104</v>
      </c>
      <c r="G86" s="17">
        <f t="shared" si="18"/>
        <v>510</v>
      </c>
      <c r="H86" s="25">
        <f t="shared" si="19"/>
        <v>20</v>
      </c>
      <c r="I86" s="21">
        <f t="shared" si="20"/>
        <v>3.9215686274509802</v>
      </c>
      <c r="J86" s="37">
        <f t="shared" si="21"/>
        <v>17</v>
      </c>
      <c r="K86" s="25">
        <f t="shared" si="22"/>
        <v>3.3333333333333335</v>
      </c>
      <c r="L86" s="21">
        <f t="shared" si="23"/>
        <v>3</v>
      </c>
      <c r="M86" s="17">
        <f t="shared" si="24"/>
        <v>0.58823529411764708</v>
      </c>
      <c r="N86" s="25">
        <f t="shared" si="25"/>
        <v>0</v>
      </c>
      <c r="O86" s="30">
        <f t="shared" si="26"/>
        <v>0</v>
      </c>
    </row>
    <row r="87" spans="2:15" ht="15" customHeight="1" x14ac:dyDescent="0.25">
      <c r="B87" s="5" t="s">
        <v>47</v>
      </c>
      <c r="C87" s="7" t="s">
        <v>168</v>
      </c>
      <c r="D87" s="7" t="s">
        <v>170</v>
      </c>
      <c r="E87" s="7" t="s">
        <v>171</v>
      </c>
      <c r="F87" s="44">
        <v>240302</v>
      </c>
      <c r="G87" s="17">
        <f t="shared" si="18"/>
        <v>1048</v>
      </c>
      <c r="H87" s="25">
        <f t="shared" si="19"/>
        <v>97</v>
      </c>
      <c r="I87" s="21">
        <f t="shared" si="20"/>
        <v>9.2557251908396942</v>
      </c>
      <c r="J87" s="37">
        <f t="shared" si="21"/>
        <v>84</v>
      </c>
      <c r="K87" s="25">
        <f t="shared" si="22"/>
        <v>8.015267175572518</v>
      </c>
      <c r="L87" s="21">
        <f t="shared" si="23"/>
        <v>13</v>
      </c>
      <c r="M87" s="17">
        <f t="shared" si="24"/>
        <v>1.2404580152671756</v>
      </c>
      <c r="N87" s="25">
        <f t="shared" si="25"/>
        <v>0</v>
      </c>
      <c r="O87" s="30">
        <f t="shared" si="26"/>
        <v>0</v>
      </c>
    </row>
    <row r="88" spans="2:15" ht="15" customHeight="1" x14ac:dyDescent="0.25">
      <c r="B88" s="5" t="s">
        <v>47</v>
      </c>
      <c r="C88" s="7" t="s">
        <v>168</v>
      </c>
      <c r="D88" s="7" t="s">
        <v>168</v>
      </c>
      <c r="E88" s="7" t="s">
        <v>172</v>
      </c>
      <c r="F88" s="44">
        <v>240105</v>
      </c>
      <c r="G88" s="17">
        <f t="shared" si="18"/>
        <v>503</v>
      </c>
      <c r="H88" s="25">
        <f t="shared" si="19"/>
        <v>21</v>
      </c>
      <c r="I88" s="21">
        <f t="shared" si="20"/>
        <v>4.1749502982107352</v>
      </c>
      <c r="J88" s="37">
        <f t="shared" si="21"/>
        <v>17</v>
      </c>
      <c r="K88" s="25">
        <f t="shared" si="22"/>
        <v>3.3797216699801194</v>
      </c>
      <c r="L88" s="21">
        <f t="shared" si="23"/>
        <v>4</v>
      </c>
      <c r="M88" s="17">
        <f t="shared" si="24"/>
        <v>0.79522862823061624</v>
      </c>
      <c r="N88" s="25">
        <f t="shared" si="25"/>
        <v>0</v>
      </c>
      <c r="O88" s="30">
        <f t="shared" si="26"/>
        <v>0</v>
      </c>
    </row>
    <row r="89" spans="2:15" ht="15" customHeight="1" x14ac:dyDescent="0.25">
      <c r="B89" s="5" t="s">
        <v>47</v>
      </c>
      <c r="C89" s="7" t="s">
        <v>168</v>
      </c>
      <c r="D89" s="7" t="s">
        <v>170</v>
      </c>
      <c r="E89" s="7" t="s">
        <v>170</v>
      </c>
      <c r="F89" s="44">
        <v>240301</v>
      </c>
      <c r="G89" s="17">
        <f t="shared" si="18"/>
        <v>1114</v>
      </c>
      <c r="H89" s="25">
        <f t="shared" si="19"/>
        <v>106</v>
      </c>
      <c r="I89" s="21">
        <f t="shared" si="20"/>
        <v>9.5152603231597848</v>
      </c>
      <c r="J89" s="37">
        <f t="shared" si="21"/>
        <v>77</v>
      </c>
      <c r="K89" s="25">
        <f t="shared" si="22"/>
        <v>6.9120287253141832</v>
      </c>
      <c r="L89" s="21">
        <f t="shared" si="23"/>
        <v>29</v>
      </c>
      <c r="M89" s="17">
        <f t="shared" si="24"/>
        <v>2.6032315978456015</v>
      </c>
      <c r="N89" s="25">
        <f t="shared" si="25"/>
        <v>0</v>
      </c>
      <c r="O89" s="30">
        <f t="shared" si="26"/>
        <v>0</v>
      </c>
    </row>
    <row r="90" spans="2:15" ht="15" customHeight="1" x14ac:dyDescent="0.25">
      <c r="B90" s="5" t="s">
        <v>47</v>
      </c>
      <c r="C90" s="7" t="s">
        <v>168</v>
      </c>
      <c r="D90" s="7" t="s">
        <v>170</v>
      </c>
      <c r="E90" s="7" t="s">
        <v>173</v>
      </c>
      <c r="F90" s="44">
        <v>240303</v>
      </c>
      <c r="G90" s="17">
        <f t="shared" si="18"/>
        <v>302</v>
      </c>
      <c r="H90" s="25">
        <f t="shared" si="19"/>
        <v>28</v>
      </c>
      <c r="I90" s="21">
        <f t="shared" si="20"/>
        <v>9.2715231788079464</v>
      </c>
      <c r="J90" s="37">
        <f t="shared" si="21"/>
        <v>19</v>
      </c>
      <c r="K90" s="25">
        <f t="shared" si="22"/>
        <v>6.2913907284768218</v>
      </c>
      <c r="L90" s="21">
        <f t="shared" si="23"/>
        <v>9</v>
      </c>
      <c r="M90" s="17">
        <f t="shared" si="24"/>
        <v>2.9801324503311259</v>
      </c>
      <c r="N90" s="25">
        <f t="shared" si="25"/>
        <v>0</v>
      </c>
      <c r="O90" s="30">
        <f t="shared" si="26"/>
        <v>0</v>
      </c>
    </row>
    <row r="91" spans="2:15" ht="15" customHeight="1" thickBot="1" x14ac:dyDescent="0.3">
      <c r="B91" s="5" t="s">
        <v>47</v>
      </c>
      <c r="C91" s="7" t="s">
        <v>168</v>
      </c>
      <c r="D91" s="7" t="s">
        <v>170</v>
      </c>
      <c r="E91" s="7" t="s">
        <v>174</v>
      </c>
      <c r="F91" s="44">
        <v>240304</v>
      </c>
      <c r="G91" s="17">
        <f t="shared" si="18"/>
        <v>498</v>
      </c>
      <c r="H91" s="25">
        <f t="shared" si="19"/>
        <v>34</v>
      </c>
      <c r="I91" s="21">
        <f t="shared" si="20"/>
        <v>6.8273092369477917</v>
      </c>
      <c r="J91" s="37">
        <f t="shared" si="21"/>
        <v>25</v>
      </c>
      <c r="K91" s="25">
        <f t="shared" si="22"/>
        <v>5.0200803212851408</v>
      </c>
      <c r="L91" s="21">
        <f t="shared" si="23"/>
        <v>9</v>
      </c>
      <c r="M91" s="17">
        <f t="shared" si="24"/>
        <v>1.8072289156626504</v>
      </c>
      <c r="N91" s="25">
        <f t="shared" si="25"/>
        <v>0</v>
      </c>
      <c r="O91" s="30">
        <f t="shared" si="26"/>
        <v>0</v>
      </c>
    </row>
    <row r="92" spans="2:15" ht="15" customHeight="1" thickBot="1" x14ac:dyDescent="0.3">
      <c r="B92" s="81"/>
      <c r="C92" s="71"/>
      <c r="D92" s="71" t="str">
        <f>UPPER(_xlfn.CONCAT("Total ",B91))</f>
        <v>TOTAL ZONA NORTE</v>
      </c>
      <c r="E92" s="71"/>
      <c r="F92" s="82"/>
      <c r="G92" s="19">
        <f>SUM(G77:G91)</f>
        <v>14735</v>
      </c>
      <c r="H92" s="27">
        <f>SUM(H77:H91)</f>
        <v>2240</v>
      </c>
      <c r="I92" s="23">
        <f>H92/G92*100</f>
        <v>15.201900237529692</v>
      </c>
      <c r="J92" s="39">
        <f>SUM(J77:J91)</f>
        <v>1696</v>
      </c>
      <c r="K92" s="27">
        <f>SUM(K77:K91)</f>
        <v>140.49824905899948</v>
      </c>
      <c r="L92" s="23">
        <f>SUM(L77:L91)</f>
        <v>539</v>
      </c>
      <c r="M92" s="19">
        <f>SUM(M77:M91)</f>
        <v>34.868749043895576</v>
      </c>
      <c r="N92" s="27">
        <f>SUM(N77:N91)</f>
        <v>5</v>
      </c>
      <c r="O92" s="34">
        <f>N92/M92*100</f>
        <v>14.339487756516872</v>
      </c>
    </row>
    <row r="93" spans="2:15" ht="15" customHeight="1" x14ac:dyDescent="0.25">
      <c r="B93" s="5" t="s">
        <v>49</v>
      </c>
      <c r="C93" s="7" t="s">
        <v>112</v>
      </c>
      <c r="D93" s="7" t="s">
        <v>112</v>
      </c>
      <c r="E93" s="7" t="s">
        <v>112</v>
      </c>
      <c r="F93" s="44">
        <v>230101</v>
      </c>
      <c r="G93" s="17">
        <f>IFERROR(VLOOKUP($F93,distrito659,2,0),"-")</f>
        <v>2384</v>
      </c>
      <c r="H93" s="25">
        <f>IFERROR(VLOOKUP($F93,distrito659,3,0),"-")</f>
        <v>343</v>
      </c>
      <c r="I93" s="21">
        <f>IFERROR(VLOOKUP($F93,distrito659,4,0),"-")</f>
        <v>14.38758389261745</v>
      </c>
      <c r="J93" s="37">
        <f>IFERROR(VLOOKUP($F93,distrito659,5,0),"-")</f>
        <v>291</v>
      </c>
      <c r="K93" s="25">
        <f>IFERROR(VLOOKUP($F93,distrito659,6,0),"-")</f>
        <v>12.206375838926174</v>
      </c>
      <c r="L93" s="21">
        <f>IFERROR(VLOOKUP($F93,distrito659,7,0),"-")</f>
        <v>52</v>
      </c>
      <c r="M93" s="17">
        <f>IFERROR(VLOOKUP($F93,distrito659,8,0),"-")</f>
        <v>2.1812080536912752</v>
      </c>
      <c r="N93" s="25">
        <f>IFERROR(VLOOKUP($F93,distrito659,9,0),"-")</f>
        <v>0</v>
      </c>
      <c r="O93" s="30">
        <f>IFERROR(VLOOKUP($F93,distrito659,10,0),"-")</f>
        <v>0</v>
      </c>
    </row>
    <row r="94" spans="2:15" ht="15" customHeight="1" thickBot="1" x14ac:dyDescent="0.3">
      <c r="B94" s="5" t="s">
        <v>49</v>
      </c>
      <c r="C94" s="7" t="s">
        <v>112</v>
      </c>
      <c r="D94" s="7" t="s">
        <v>112</v>
      </c>
      <c r="E94" s="7" t="s">
        <v>175</v>
      </c>
      <c r="F94" s="44">
        <v>230111</v>
      </c>
      <c r="G94" s="17">
        <f>IFERROR(VLOOKUP($F94,distrito659,2,0),"-")</f>
        <v>517</v>
      </c>
      <c r="H94" s="25">
        <f>IFERROR(VLOOKUP($F94,distrito659,3,0),"-")</f>
        <v>42</v>
      </c>
      <c r="I94" s="21">
        <f>IFERROR(VLOOKUP($F94,distrito659,4,0),"-")</f>
        <v>8.123791102514506</v>
      </c>
      <c r="J94" s="37">
        <f>IFERROR(VLOOKUP($F94,distrito659,5,0),"-")</f>
        <v>36</v>
      </c>
      <c r="K94" s="25">
        <f>IFERROR(VLOOKUP($F94,distrito659,6,0),"-")</f>
        <v>6.9632495164410058</v>
      </c>
      <c r="L94" s="21">
        <f>IFERROR(VLOOKUP($F94,distrito659,7,0),"-")</f>
        <v>6</v>
      </c>
      <c r="M94" s="17">
        <f>IFERROR(VLOOKUP($F94,distrito659,8,0),"-")</f>
        <v>1.1605415860735011</v>
      </c>
      <c r="N94" s="25">
        <f>IFERROR(VLOOKUP($F94,distrito659,9,0),"-")</f>
        <v>0</v>
      </c>
      <c r="O94" s="30">
        <f>IFERROR(VLOOKUP($F94,distrito659,10,0),"-")</f>
        <v>0</v>
      </c>
    </row>
    <row r="95" spans="2:15" ht="15" customHeight="1" thickBot="1" x14ac:dyDescent="0.3">
      <c r="B95" s="81"/>
      <c r="C95" s="71"/>
      <c r="D95" s="71" t="str">
        <f>UPPER(_xlfn.CONCAT("Total ",B94))</f>
        <v>TOTAL ZONA SUR</v>
      </c>
      <c r="E95" s="71"/>
      <c r="F95" s="82"/>
      <c r="G95" s="19">
        <f>SUM(G93:G94)</f>
        <v>2901</v>
      </c>
      <c r="H95" s="27">
        <f>SUM(H93:H94)</f>
        <v>385</v>
      </c>
      <c r="I95" s="23">
        <f>H95/G95*100</f>
        <v>13.271285763529816</v>
      </c>
      <c r="J95" s="39">
        <f>SUM(J93:J94)</f>
        <v>327</v>
      </c>
      <c r="K95" s="27">
        <f>SUM(K93:K94)</f>
        <v>19.169625355367181</v>
      </c>
      <c r="L95" s="23">
        <f>SUM(L93:L94)</f>
        <v>58</v>
      </c>
      <c r="M95" s="19">
        <f>SUM(M93:M94)</f>
        <v>3.3417496397647763</v>
      </c>
      <c r="N95" s="27">
        <f>SUM(N93:N94)</f>
        <v>0</v>
      </c>
      <c r="O95" s="34">
        <f>N95/M95*100</f>
        <v>0</v>
      </c>
    </row>
    <row r="96" spans="2:15" ht="15" customHeight="1" thickBot="1" x14ac:dyDescent="0.3">
      <c r="B96" s="81"/>
      <c r="C96" s="71"/>
      <c r="D96" s="71" t="s">
        <v>176</v>
      </c>
      <c r="E96" s="71"/>
      <c r="F96" s="82"/>
      <c r="G96" s="19">
        <f>G95+G92+G76+G54+G48</f>
        <v>66917</v>
      </c>
      <c r="H96" s="19">
        <f>H95+H92+H76+H54+H48</f>
        <v>10436</v>
      </c>
      <c r="I96" s="34">
        <f>H96/G96*100</f>
        <v>15.595439126081564</v>
      </c>
      <c r="J96" s="19">
        <f>J95+J92+J76+J54+J48</f>
        <v>8080</v>
      </c>
      <c r="K96" s="23">
        <f>J96/G96*100</f>
        <v>12.074659653002975</v>
      </c>
      <c r="L96" s="19">
        <f>L95+L92+L76+L54+L48</f>
        <v>2313</v>
      </c>
      <c r="M96" s="35">
        <f>L96/G96*100</f>
        <v>3.4565207645291931</v>
      </c>
      <c r="N96" s="19">
        <f>N95+N92+N76+N54+N48</f>
        <v>43</v>
      </c>
      <c r="O96" s="34">
        <f>N96/G96*100</f>
        <v>6.4258708549397012E-2</v>
      </c>
    </row>
    <row r="97" spans="2:6" ht="15" customHeight="1" x14ac:dyDescent="0.25">
      <c r="B97" s="2" t="str">
        <f>_xlfn.CONCAT("Fuente: Sistema de Información SIEN - HIS, ",RIGHT(INICIO!C8,4),".")</f>
        <v>Fuente: Sistema de Información SIEN - HIS, 2025.</v>
      </c>
      <c r="C97" s="2"/>
      <c r="D97" s="12"/>
      <c r="E97" s="12"/>
      <c r="F97" s="12"/>
    </row>
    <row r="98" spans="2:6" ht="15" customHeight="1" x14ac:dyDescent="0.25">
      <c r="B98" s="2" t="s">
        <v>68</v>
      </c>
      <c r="C98" s="2"/>
      <c r="D98" s="12"/>
      <c r="E98" s="12"/>
      <c r="F98" s="12"/>
    </row>
    <row r="99" spans="2:6" ht="15" customHeight="1" x14ac:dyDescent="0.25">
      <c r="B99" s="2" t="s">
        <v>36</v>
      </c>
      <c r="C99" s="2"/>
    </row>
    <row r="100" spans="2:6" ht="15" customHeight="1" x14ac:dyDescent="0.25">
      <c r="B100" s="2"/>
      <c r="C100" s="2"/>
    </row>
  </sheetData>
  <mergeCells count="12">
    <mergeCell ref="B2:O2"/>
    <mergeCell ref="B3:O3"/>
    <mergeCell ref="B5:B6"/>
    <mergeCell ref="C5:C6"/>
    <mergeCell ref="D5:D6"/>
    <mergeCell ref="E5:E6"/>
    <mergeCell ref="F5:F6"/>
    <mergeCell ref="G5:G6"/>
    <mergeCell ref="H5:I5"/>
    <mergeCell ref="J5:K5"/>
    <mergeCell ref="L5:M5"/>
    <mergeCell ref="N5:O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00B050"/>
  </sheetPr>
  <dimension ref="B2:U37"/>
  <sheetViews>
    <sheetView showGridLines="0" zoomScaleNormal="100" workbookViewId="0">
      <selection activeCell="B8" sqref="B8:U32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89" t="s">
        <v>43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2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2:21" ht="15" customHeight="1" thickBot="1" x14ac:dyDescent="0.3"/>
    <row r="5" spans="2:21" ht="15" customHeight="1" thickBot="1" x14ac:dyDescent="0.3">
      <c r="B5" s="92" t="s">
        <v>0</v>
      </c>
      <c r="C5" s="91" t="s">
        <v>11</v>
      </c>
      <c r="D5" s="91"/>
      <c r="E5" s="91"/>
      <c r="F5" s="91"/>
      <c r="G5" s="91"/>
      <c r="H5" s="91"/>
      <c r="I5" s="91" t="s">
        <v>12</v>
      </c>
      <c r="J5" s="91"/>
      <c r="K5" s="91"/>
      <c r="L5" s="91" t="s">
        <v>14</v>
      </c>
      <c r="M5" s="91"/>
      <c r="N5" s="91"/>
      <c r="O5" s="91"/>
      <c r="P5" s="91"/>
      <c r="Q5" s="91"/>
      <c r="R5" s="91"/>
      <c r="S5" s="91"/>
      <c r="T5" s="91"/>
      <c r="U5" s="91"/>
    </row>
    <row r="6" spans="2:21" ht="15" customHeight="1" thickBot="1" x14ac:dyDescent="0.3">
      <c r="B6" s="92"/>
      <c r="C6" s="91" t="s">
        <v>10</v>
      </c>
      <c r="D6" s="91" t="s">
        <v>9</v>
      </c>
      <c r="E6" s="91"/>
      <c r="F6" s="96" t="s">
        <v>10</v>
      </c>
      <c r="G6" s="95" t="s">
        <v>20</v>
      </c>
      <c r="H6" s="94"/>
      <c r="I6" s="91" t="s">
        <v>10</v>
      </c>
      <c r="J6" s="91" t="s">
        <v>13</v>
      </c>
      <c r="K6" s="91"/>
      <c r="L6" s="91" t="s">
        <v>10</v>
      </c>
      <c r="M6" s="91" t="s">
        <v>15</v>
      </c>
      <c r="N6" s="91"/>
      <c r="O6" s="91" t="s">
        <v>10</v>
      </c>
      <c r="P6" s="93" t="s">
        <v>41</v>
      </c>
      <c r="Q6" s="94"/>
      <c r="R6" s="91" t="s">
        <v>3</v>
      </c>
      <c r="S6" s="91"/>
      <c r="T6" s="91" t="s">
        <v>4</v>
      </c>
      <c r="U6" s="91"/>
    </row>
    <row r="7" spans="2:21" ht="30" customHeight="1" thickBot="1" x14ac:dyDescent="0.3">
      <c r="B7" s="92"/>
      <c r="C7" s="91"/>
      <c r="D7" s="9" t="s">
        <v>1</v>
      </c>
      <c r="E7" s="9" t="s">
        <v>2</v>
      </c>
      <c r="F7" s="97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13" t="s">
        <v>178</v>
      </c>
      <c r="C8" s="16">
        <v>9953</v>
      </c>
      <c r="D8" s="24">
        <v>3364</v>
      </c>
      <c r="E8" s="20">
        <v>33.798854616698485</v>
      </c>
      <c r="F8" s="36">
        <v>6589</v>
      </c>
      <c r="G8" s="24">
        <v>3504</v>
      </c>
      <c r="H8" s="20">
        <v>53.179541660342998</v>
      </c>
      <c r="I8" s="16">
        <v>9953</v>
      </c>
      <c r="J8" s="24">
        <v>769</v>
      </c>
      <c r="K8" s="28">
        <v>7.7263136742690639</v>
      </c>
      <c r="L8" s="16">
        <v>9953</v>
      </c>
      <c r="M8" s="24">
        <v>247</v>
      </c>
      <c r="N8" s="29">
        <v>2.4816638199537828</v>
      </c>
      <c r="O8" s="72">
        <v>8857</v>
      </c>
      <c r="P8" s="72">
        <v>643</v>
      </c>
      <c r="Q8" s="20">
        <v>7.2597945128147225</v>
      </c>
      <c r="R8" s="36">
        <v>655</v>
      </c>
      <c r="S8" s="29">
        <v>6.5809303727519337</v>
      </c>
      <c r="T8" s="36">
        <v>194</v>
      </c>
      <c r="U8" s="28">
        <v>1.9491610569677484</v>
      </c>
    </row>
    <row r="9" spans="2:21" ht="15" customHeight="1" x14ac:dyDescent="0.25">
      <c r="B9" s="14" t="s">
        <v>179</v>
      </c>
      <c r="C9" s="17">
        <v>0</v>
      </c>
      <c r="D9" s="25">
        <v>0</v>
      </c>
      <c r="E9" s="21">
        <v>0</v>
      </c>
      <c r="F9" s="37">
        <v>0</v>
      </c>
      <c r="G9" s="25">
        <v>0</v>
      </c>
      <c r="H9" s="21">
        <v>0</v>
      </c>
      <c r="I9" s="17">
        <v>0</v>
      </c>
      <c r="J9" s="25">
        <v>0</v>
      </c>
      <c r="K9" s="30">
        <v>0</v>
      </c>
      <c r="L9" s="17">
        <v>0</v>
      </c>
      <c r="M9" s="25">
        <v>0</v>
      </c>
      <c r="N9" s="31">
        <v>0</v>
      </c>
      <c r="O9" s="61">
        <v>0</v>
      </c>
      <c r="P9" s="59">
        <v>0</v>
      </c>
      <c r="Q9" s="21">
        <v>0</v>
      </c>
      <c r="R9" s="37">
        <v>0</v>
      </c>
      <c r="S9" s="31">
        <v>0</v>
      </c>
      <c r="T9" s="37">
        <v>0</v>
      </c>
      <c r="U9" s="30">
        <v>0</v>
      </c>
    </row>
    <row r="10" spans="2:21" ht="15" customHeight="1" x14ac:dyDescent="0.25">
      <c r="B10" s="14" t="s">
        <v>180</v>
      </c>
      <c r="C10" s="17">
        <v>0</v>
      </c>
      <c r="D10" s="25">
        <v>0</v>
      </c>
      <c r="E10" s="21">
        <v>0</v>
      </c>
      <c r="F10" s="37">
        <v>0</v>
      </c>
      <c r="G10" s="25">
        <v>0</v>
      </c>
      <c r="H10" s="21">
        <v>0</v>
      </c>
      <c r="I10" s="17">
        <v>0</v>
      </c>
      <c r="J10" s="25">
        <v>0</v>
      </c>
      <c r="K10" s="30">
        <v>0</v>
      </c>
      <c r="L10" s="17">
        <v>0</v>
      </c>
      <c r="M10" s="25">
        <v>0</v>
      </c>
      <c r="N10" s="31">
        <v>0</v>
      </c>
      <c r="O10" s="61">
        <v>0</v>
      </c>
      <c r="P10" s="59">
        <v>0</v>
      </c>
      <c r="Q10" s="21">
        <v>0</v>
      </c>
      <c r="R10" s="37">
        <v>0</v>
      </c>
      <c r="S10" s="31">
        <v>0</v>
      </c>
      <c r="T10" s="37">
        <v>0</v>
      </c>
      <c r="U10" s="30">
        <v>0</v>
      </c>
    </row>
    <row r="11" spans="2:21" ht="15" customHeight="1" x14ac:dyDescent="0.25">
      <c r="B11" s="14" t="s">
        <v>181</v>
      </c>
      <c r="C11" s="17">
        <v>0</v>
      </c>
      <c r="D11" s="25">
        <v>0</v>
      </c>
      <c r="E11" s="21">
        <v>0</v>
      </c>
      <c r="F11" s="37">
        <v>0</v>
      </c>
      <c r="G11" s="25">
        <v>0</v>
      </c>
      <c r="H11" s="21">
        <v>0</v>
      </c>
      <c r="I11" s="17">
        <v>0</v>
      </c>
      <c r="J11" s="25">
        <v>0</v>
      </c>
      <c r="K11" s="30">
        <v>0</v>
      </c>
      <c r="L11" s="17">
        <v>0</v>
      </c>
      <c r="M11" s="25">
        <v>0</v>
      </c>
      <c r="N11" s="31">
        <v>0</v>
      </c>
      <c r="O11" s="61">
        <v>0</v>
      </c>
      <c r="P11" s="59">
        <v>0</v>
      </c>
      <c r="Q11" s="21">
        <v>0</v>
      </c>
      <c r="R11" s="37">
        <v>0</v>
      </c>
      <c r="S11" s="31">
        <v>0</v>
      </c>
      <c r="T11" s="37">
        <v>0</v>
      </c>
      <c r="U11" s="30">
        <v>0</v>
      </c>
    </row>
    <row r="12" spans="2:21" ht="15" customHeight="1" x14ac:dyDescent="0.25">
      <c r="B12" s="14" t="s">
        <v>182</v>
      </c>
      <c r="C12" s="17">
        <v>0</v>
      </c>
      <c r="D12" s="25">
        <v>0</v>
      </c>
      <c r="E12" s="21">
        <v>0</v>
      </c>
      <c r="F12" s="37">
        <v>0</v>
      </c>
      <c r="G12" s="25">
        <v>0</v>
      </c>
      <c r="H12" s="21">
        <v>0</v>
      </c>
      <c r="I12" s="17">
        <v>0</v>
      </c>
      <c r="J12" s="25">
        <v>0</v>
      </c>
      <c r="K12" s="30">
        <v>0</v>
      </c>
      <c r="L12" s="17">
        <v>0</v>
      </c>
      <c r="M12" s="25">
        <v>0</v>
      </c>
      <c r="N12" s="31">
        <v>0</v>
      </c>
      <c r="O12" s="61">
        <v>0</v>
      </c>
      <c r="P12" s="59">
        <v>0</v>
      </c>
      <c r="Q12" s="21">
        <v>0</v>
      </c>
      <c r="R12" s="37">
        <v>0</v>
      </c>
      <c r="S12" s="31">
        <v>0</v>
      </c>
      <c r="T12" s="37">
        <v>0</v>
      </c>
      <c r="U12" s="30">
        <v>0</v>
      </c>
    </row>
    <row r="13" spans="2:21" ht="15" customHeight="1" x14ac:dyDescent="0.25">
      <c r="B13" s="14" t="s">
        <v>183</v>
      </c>
      <c r="C13" s="17">
        <v>4119</v>
      </c>
      <c r="D13" s="25">
        <v>818</v>
      </c>
      <c r="E13" s="21">
        <v>19.859189123573685</v>
      </c>
      <c r="F13" s="37">
        <v>3301</v>
      </c>
      <c r="G13" s="25">
        <v>1418</v>
      </c>
      <c r="H13" s="21">
        <v>42.956679794001815</v>
      </c>
      <c r="I13" s="17">
        <v>4119</v>
      </c>
      <c r="J13" s="25">
        <v>197</v>
      </c>
      <c r="K13" s="30">
        <v>4.7827142510318037</v>
      </c>
      <c r="L13" s="17">
        <v>4119</v>
      </c>
      <c r="M13" s="25">
        <v>75</v>
      </c>
      <c r="N13" s="31">
        <v>1.8208302986161691</v>
      </c>
      <c r="O13" s="73">
        <v>3788</v>
      </c>
      <c r="P13" s="73">
        <v>278</v>
      </c>
      <c r="Q13" s="21">
        <v>7.3389651531151001</v>
      </c>
      <c r="R13" s="37">
        <v>205</v>
      </c>
      <c r="S13" s="31">
        <v>4.9769361495508617</v>
      </c>
      <c r="T13" s="37">
        <v>51</v>
      </c>
      <c r="U13" s="30">
        <v>1.2381646030589948</v>
      </c>
    </row>
    <row r="14" spans="2:21" ht="15" customHeight="1" x14ac:dyDescent="0.25">
      <c r="B14" s="14" t="s">
        <v>184</v>
      </c>
      <c r="C14" s="17">
        <v>0</v>
      </c>
      <c r="D14" s="25">
        <v>0</v>
      </c>
      <c r="E14" s="21">
        <v>0</v>
      </c>
      <c r="F14" s="37">
        <v>0</v>
      </c>
      <c r="G14" s="25">
        <v>0</v>
      </c>
      <c r="H14" s="21">
        <v>0</v>
      </c>
      <c r="I14" s="17">
        <v>0</v>
      </c>
      <c r="J14" s="25">
        <v>0</v>
      </c>
      <c r="K14" s="30">
        <v>0</v>
      </c>
      <c r="L14" s="17">
        <v>0</v>
      </c>
      <c r="M14" s="25">
        <v>0</v>
      </c>
      <c r="N14" s="31">
        <v>0</v>
      </c>
      <c r="O14" s="37">
        <v>0</v>
      </c>
      <c r="P14" s="25">
        <v>0</v>
      </c>
      <c r="Q14" s="21">
        <v>0</v>
      </c>
      <c r="R14" s="37">
        <v>0</v>
      </c>
      <c r="S14" s="31">
        <v>0</v>
      </c>
      <c r="T14" s="37">
        <v>0</v>
      </c>
      <c r="U14" s="30">
        <v>0</v>
      </c>
    </row>
    <row r="15" spans="2:21" ht="15" customHeight="1" x14ac:dyDescent="0.25">
      <c r="B15" s="14" t="s">
        <v>185</v>
      </c>
      <c r="C15" s="17">
        <v>0</v>
      </c>
      <c r="D15" s="25">
        <v>0</v>
      </c>
      <c r="E15" s="21">
        <v>0</v>
      </c>
      <c r="F15" s="37">
        <v>0</v>
      </c>
      <c r="G15" s="25">
        <v>0</v>
      </c>
      <c r="H15" s="21">
        <v>0</v>
      </c>
      <c r="I15" s="17">
        <v>0</v>
      </c>
      <c r="J15" s="25">
        <v>0</v>
      </c>
      <c r="K15" s="30">
        <v>0</v>
      </c>
      <c r="L15" s="17">
        <v>0</v>
      </c>
      <c r="M15" s="25">
        <v>0</v>
      </c>
      <c r="N15" s="31">
        <v>0</v>
      </c>
      <c r="O15" s="37">
        <v>0</v>
      </c>
      <c r="P15" s="25">
        <v>0</v>
      </c>
      <c r="Q15" s="21">
        <v>0</v>
      </c>
      <c r="R15" s="37">
        <v>0</v>
      </c>
      <c r="S15" s="31">
        <v>0</v>
      </c>
      <c r="T15" s="37">
        <v>0</v>
      </c>
      <c r="U15" s="30">
        <v>0</v>
      </c>
    </row>
    <row r="16" spans="2:21" ht="15" customHeight="1" x14ac:dyDescent="0.25">
      <c r="B16" s="14" t="s">
        <v>186</v>
      </c>
      <c r="C16" s="17">
        <v>0</v>
      </c>
      <c r="D16" s="25">
        <v>0</v>
      </c>
      <c r="E16" s="21">
        <v>0</v>
      </c>
      <c r="F16" s="37">
        <v>0</v>
      </c>
      <c r="G16" s="25">
        <v>0</v>
      </c>
      <c r="H16" s="21">
        <v>0</v>
      </c>
      <c r="I16" s="17">
        <v>0</v>
      </c>
      <c r="J16" s="25">
        <v>0</v>
      </c>
      <c r="K16" s="30">
        <v>0</v>
      </c>
      <c r="L16" s="17">
        <v>0</v>
      </c>
      <c r="M16" s="25">
        <v>0</v>
      </c>
      <c r="N16" s="31">
        <v>0</v>
      </c>
      <c r="O16" s="37">
        <v>0</v>
      </c>
      <c r="P16" s="25">
        <v>0</v>
      </c>
      <c r="Q16" s="21">
        <v>0</v>
      </c>
      <c r="R16" s="37">
        <v>0</v>
      </c>
      <c r="S16" s="31">
        <v>0</v>
      </c>
      <c r="T16" s="37">
        <v>0</v>
      </c>
      <c r="U16" s="30">
        <v>0</v>
      </c>
    </row>
    <row r="17" spans="2:21" ht="15" customHeight="1" x14ac:dyDescent="0.25">
      <c r="B17" s="14" t="s">
        <v>187</v>
      </c>
      <c r="C17" s="17">
        <v>0</v>
      </c>
      <c r="D17" s="25">
        <v>0</v>
      </c>
      <c r="E17" s="21">
        <v>0</v>
      </c>
      <c r="F17" s="37">
        <v>0</v>
      </c>
      <c r="G17" s="25">
        <v>0</v>
      </c>
      <c r="H17" s="21">
        <v>0</v>
      </c>
      <c r="I17" s="17">
        <v>0</v>
      </c>
      <c r="J17" s="25">
        <v>0</v>
      </c>
      <c r="K17" s="30">
        <v>0</v>
      </c>
      <c r="L17" s="17">
        <v>0</v>
      </c>
      <c r="M17" s="25">
        <v>0</v>
      </c>
      <c r="N17" s="31">
        <v>0</v>
      </c>
      <c r="O17" s="37">
        <v>0</v>
      </c>
      <c r="P17" s="25">
        <v>0</v>
      </c>
      <c r="Q17" s="21">
        <v>0</v>
      </c>
      <c r="R17" s="37">
        <v>0</v>
      </c>
      <c r="S17" s="31">
        <v>0</v>
      </c>
      <c r="T17" s="37">
        <v>0</v>
      </c>
      <c r="U17" s="30">
        <v>0</v>
      </c>
    </row>
    <row r="18" spans="2:21" ht="15" customHeight="1" x14ac:dyDescent="0.25">
      <c r="B18" s="14" t="s">
        <v>188</v>
      </c>
      <c r="C18" s="17">
        <v>0</v>
      </c>
      <c r="D18" s="25">
        <v>0</v>
      </c>
      <c r="E18" s="21">
        <v>0</v>
      </c>
      <c r="F18" s="37">
        <v>0</v>
      </c>
      <c r="G18" s="25">
        <v>0</v>
      </c>
      <c r="H18" s="21">
        <v>0</v>
      </c>
      <c r="I18" s="17">
        <v>0</v>
      </c>
      <c r="J18" s="25">
        <v>0</v>
      </c>
      <c r="K18" s="30">
        <v>0</v>
      </c>
      <c r="L18" s="17">
        <v>0</v>
      </c>
      <c r="M18" s="25">
        <v>0</v>
      </c>
      <c r="N18" s="31">
        <v>0</v>
      </c>
      <c r="O18" s="37">
        <v>0</v>
      </c>
      <c r="P18" s="25">
        <v>0</v>
      </c>
      <c r="Q18" s="21">
        <v>0</v>
      </c>
      <c r="R18" s="37">
        <v>0</v>
      </c>
      <c r="S18" s="31">
        <v>0</v>
      </c>
      <c r="T18" s="37">
        <v>0</v>
      </c>
      <c r="U18" s="30">
        <v>0</v>
      </c>
    </row>
    <row r="19" spans="2:21" ht="15" customHeight="1" x14ac:dyDescent="0.25">
      <c r="B19" s="14" t="s">
        <v>189</v>
      </c>
      <c r="C19" s="17">
        <v>0</v>
      </c>
      <c r="D19" s="25">
        <v>0</v>
      </c>
      <c r="E19" s="21">
        <v>0</v>
      </c>
      <c r="F19" s="37">
        <v>0</v>
      </c>
      <c r="G19" s="25">
        <v>0</v>
      </c>
      <c r="H19" s="21">
        <v>0</v>
      </c>
      <c r="I19" s="17">
        <v>0</v>
      </c>
      <c r="J19" s="25">
        <v>0</v>
      </c>
      <c r="K19" s="30">
        <v>0</v>
      </c>
      <c r="L19" s="17">
        <v>0</v>
      </c>
      <c r="M19" s="25">
        <v>0</v>
      </c>
      <c r="N19" s="31">
        <v>0</v>
      </c>
      <c r="O19" s="37">
        <v>0</v>
      </c>
      <c r="P19" s="25">
        <v>0</v>
      </c>
      <c r="Q19" s="21">
        <v>0</v>
      </c>
      <c r="R19" s="37">
        <v>0</v>
      </c>
      <c r="S19" s="31">
        <v>0</v>
      </c>
      <c r="T19" s="37">
        <v>0</v>
      </c>
      <c r="U19" s="30">
        <v>0</v>
      </c>
    </row>
    <row r="20" spans="2:21" ht="15" customHeight="1" x14ac:dyDescent="0.25">
      <c r="B20" s="14" t="s">
        <v>190</v>
      </c>
      <c r="C20" s="17">
        <v>0</v>
      </c>
      <c r="D20" s="25">
        <v>0</v>
      </c>
      <c r="E20" s="21">
        <v>0</v>
      </c>
      <c r="F20" s="37">
        <v>0</v>
      </c>
      <c r="G20" s="25">
        <v>0</v>
      </c>
      <c r="H20" s="21">
        <v>0</v>
      </c>
      <c r="I20" s="17">
        <v>0</v>
      </c>
      <c r="J20" s="25">
        <v>0</v>
      </c>
      <c r="K20" s="30">
        <v>0</v>
      </c>
      <c r="L20" s="17">
        <v>0</v>
      </c>
      <c r="M20" s="25">
        <v>0</v>
      </c>
      <c r="N20" s="31">
        <v>0</v>
      </c>
      <c r="O20" s="37">
        <v>0</v>
      </c>
      <c r="P20" s="25">
        <v>0</v>
      </c>
      <c r="Q20" s="21">
        <v>0</v>
      </c>
      <c r="R20" s="37">
        <v>0</v>
      </c>
      <c r="S20" s="31">
        <v>0</v>
      </c>
      <c r="T20" s="37">
        <v>0</v>
      </c>
      <c r="U20" s="30">
        <v>0</v>
      </c>
    </row>
    <row r="21" spans="2:21" ht="15" customHeight="1" x14ac:dyDescent="0.25">
      <c r="B21" s="14" t="s">
        <v>191</v>
      </c>
      <c r="C21" s="17">
        <v>0</v>
      </c>
      <c r="D21" s="25">
        <v>0</v>
      </c>
      <c r="E21" s="21">
        <v>0</v>
      </c>
      <c r="F21" s="37">
        <v>0</v>
      </c>
      <c r="G21" s="25">
        <v>0</v>
      </c>
      <c r="H21" s="21">
        <v>0</v>
      </c>
      <c r="I21" s="17">
        <v>0</v>
      </c>
      <c r="J21" s="25">
        <v>0</v>
      </c>
      <c r="K21" s="30">
        <v>0</v>
      </c>
      <c r="L21" s="17">
        <v>0</v>
      </c>
      <c r="M21" s="25">
        <v>0</v>
      </c>
      <c r="N21" s="31">
        <v>0</v>
      </c>
      <c r="O21" s="37">
        <v>0</v>
      </c>
      <c r="P21" s="25">
        <v>0</v>
      </c>
      <c r="Q21" s="21">
        <v>0</v>
      </c>
      <c r="R21" s="37">
        <v>0</v>
      </c>
      <c r="S21" s="31">
        <v>0</v>
      </c>
      <c r="T21" s="37">
        <v>0</v>
      </c>
      <c r="U21" s="30">
        <v>0</v>
      </c>
    </row>
    <row r="22" spans="2:21" ht="15" customHeight="1" x14ac:dyDescent="0.25">
      <c r="B22" s="14" t="s">
        <v>192</v>
      </c>
      <c r="C22" s="17">
        <v>0</v>
      </c>
      <c r="D22" s="25">
        <v>0</v>
      </c>
      <c r="E22" s="21">
        <v>0</v>
      </c>
      <c r="F22" s="37">
        <v>0</v>
      </c>
      <c r="G22" s="25">
        <v>0</v>
      </c>
      <c r="H22" s="21">
        <v>0</v>
      </c>
      <c r="I22" s="17">
        <v>0</v>
      </c>
      <c r="J22" s="25">
        <v>0</v>
      </c>
      <c r="K22" s="30">
        <v>0</v>
      </c>
      <c r="L22" s="17">
        <v>0</v>
      </c>
      <c r="M22" s="25">
        <v>0</v>
      </c>
      <c r="N22" s="31">
        <v>0</v>
      </c>
      <c r="O22" s="37">
        <v>0</v>
      </c>
      <c r="P22" s="25">
        <v>0</v>
      </c>
      <c r="Q22" s="21">
        <v>0</v>
      </c>
      <c r="R22" s="37">
        <v>0</v>
      </c>
      <c r="S22" s="31">
        <v>0</v>
      </c>
      <c r="T22" s="37">
        <v>0</v>
      </c>
      <c r="U22" s="30">
        <v>0</v>
      </c>
    </row>
    <row r="23" spans="2:21" ht="15" customHeight="1" x14ac:dyDescent="0.25">
      <c r="B23" s="14" t="s">
        <v>193</v>
      </c>
      <c r="C23" s="17">
        <v>11368</v>
      </c>
      <c r="D23" s="25">
        <v>3383</v>
      </c>
      <c r="E23" s="21">
        <v>29.75897255453906</v>
      </c>
      <c r="F23" s="37">
        <v>7985</v>
      </c>
      <c r="G23" s="25">
        <v>3739</v>
      </c>
      <c r="H23" s="21">
        <v>46.825297432686284</v>
      </c>
      <c r="I23" s="17">
        <v>11368</v>
      </c>
      <c r="J23" s="25">
        <v>1158</v>
      </c>
      <c r="K23" s="30">
        <v>10.186488388458832</v>
      </c>
      <c r="L23" s="17">
        <v>11368</v>
      </c>
      <c r="M23" s="25">
        <v>514</v>
      </c>
      <c r="N23" s="31">
        <v>4.5214637579169592</v>
      </c>
      <c r="O23" s="73">
        <v>10026</v>
      </c>
      <c r="P23" s="73">
        <v>1082</v>
      </c>
      <c r="Q23" s="21">
        <v>10.791940953520845</v>
      </c>
      <c r="R23" s="37">
        <v>626</v>
      </c>
      <c r="S23" s="31">
        <v>5.5066854327938071</v>
      </c>
      <c r="T23" s="37">
        <v>202</v>
      </c>
      <c r="U23" s="30">
        <v>1.7769176636171711</v>
      </c>
    </row>
    <row r="24" spans="2:21" ht="15" customHeight="1" x14ac:dyDescent="0.25">
      <c r="B24" s="14" t="s">
        <v>194</v>
      </c>
      <c r="C24" s="17">
        <v>6098</v>
      </c>
      <c r="D24" s="25">
        <v>583</v>
      </c>
      <c r="E24" s="21">
        <v>9.5605116431616928</v>
      </c>
      <c r="F24" s="37">
        <v>5515</v>
      </c>
      <c r="G24" s="25">
        <v>1486</v>
      </c>
      <c r="H24" s="21">
        <v>26.944696282864918</v>
      </c>
      <c r="I24" s="17">
        <v>6098</v>
      </c>
      <c r="J24" s="25">
        <v>214</v>
      </c>
      <c r="K24" s="30">
        <v>3.5093473269924571</v>
      </c>
      <c r="L24" s="17">
        <v>6098</v>
      </c>
      <c r="M24" s="25">
        <v>121</v>
      </c>
      <c r="N24" s="31">
        <v>1.984257133486389</v>
      </c>
      <c r="O24" s="73">
        <v>5580</v>
      </c>
      <c r="P24" s="73">
        <v>547</v>
      </c>
      <c r="Q24" s="21">
        <v>9.8028673835125453</v>
      </c>
      <c r="R24" s="37">
        <v>312</v>
      </c>
      <c r="S24" s="31">
        <v>5.1164316169235811</v>
      </c>
      <c r="T24" s="37">
        <v>85</v>
      </c>
      <c r="U24" s="30">
        <v>1.3938996392259757</v>
      </c>
    </row>
    <row r="25" spans="2:21" ht="15" customHeight="1" x14ac:dyDescent="0.25">
      <c r="B25" s="14" t="s">
        <v>195</v>
      </c>
      <c r="C25" s="17">
        <v>0</v>
      </c>
      <c r="D25" s="25">
        <v>0</v>
      </c>
      <c r="E25" s="21">
        <v>0</v>
      </c>
      <c r="F25" s="37">
        <v>0</v>
      </c>
      <c r="G25" s="25">
        <v>0</v>
      </c>
      <c r="H25" s="21">
        <v>0</v>
      </c>
      <c r="I25" s="17">
        <v>0</v>
      </c>
      <c r="J25" s="25">
        <v>0</v>
      </c>
      <c r="K25" s="30">
        <v>0</v>
      </c>
      <c r="L25" s="17">
        <v>0</v>
      </c>
      <c r="M25" s="25">
        <v>0</v>
      </c>
      <c r="N25" s="31">
        <v>0</v>
      </c>
      <c r="O25" s="37">
        <v>0</v>
      </c>
      <c r="P25" s="25">
        <v>0</v>
      </c>
      <c r="Q25" s="21">
        <v>0</v>
      </c>
      <c r="R25" s="37">
        <v>0</v>
      </c>
      <c r="S25" s="31">
        <v>0</v>
      </c>
      <c r="T25" s="37">
        <v>0</v>
      </c>
      <c r="U25" s="30">
        <v>0</v>
      </c>
    </row>
    <row r="26" spans="2:21" ht="15" customHeight="1" x14ac:dyDescent="0.25">
      <c r="B26" s="14" t="s">
        <v>196</v>
      </c>
      <c r="C26" s="17">
        <v>0</v>
      </c>
      <c r="D26" s="25">
        <v>0</v>
      </c>
      <c r="E26" s="21">
        <v>0</v>
      </c>
      <c r="F26" s="37">
        <v>0</v>
      </c>
      <c r="G26" s="25">
        <v>0</v>
      </c>
      <c r="H26" s="21">
        <v>0</v>
      </c>
      <c r="I26" s="17">
        <v>0</v>
      </c>
      <c r="J26" s="25">
        <v>0</v>
      </c>
      <c r="K26" s="30">
        <v>0</v>
      </c>
      <c r="L26" s="17">
        <v>0</v>
      </c>
      <c r="M26" s="25">
        <v>0</v>
      </c>
      <c r="N26" s="31">
        <v>0</v>
      </c>
      <c r="O26" s="37">
        <v>0</v>
      </c>
      <c r="P26" s="25">
        <v>0</v>
      </c>
      <c r="Q26" s="21">
        <v>0</v>
      </c>
      <c r="R26" s="37">
        <v>0</v>
      </c>
      <c r="S26" s="31">
        <v>0</v>
      </c>
      <c r="T26" s="37">
        <v>0</v>
      </c>
      <c r="U26" s="30">
        <v>0</v>
      </c>
    </row>
    <row r="27" spans="2:21" ht="15" customHeight="1" x14ac:dyDescent="0.25">
      <c r="B27" s="14" t="s">
        <v>197</v>
      </c>
      <c r="C27" s="17">
        <v>3564</v>
      </c>
      <c r="D27" s="25">
        <v>755</v>
      </c>
      <c r="E27" s="21">
        <v>21.184062850729518</v>
      </c>
      <c r="F27" s="37">
        <v>2809</v>
      </c>
      <c r="G27" s="25">
        <v>1111</v>
      </c>
      <c r="H27" s="21">
        <v>39.551441794232822</v>
      </c>
      <c r="I27" s="17">
        <v>3564</v>
      </c>
      <c r="J27" s="25">
        <v>217</v>
      </c>
      <c r="K27" s="30">
        <v>6.0886644219977555</v>
      </c>
      <c r="L27" s="17">
        <v>3564</v>
      </c>
      <c r="M27" s="25">
        <v>89</v>
      </c>
      <c r="N27" s="31">
        <v>2.4971941638608306</v>
      </c>
      <c r="O27" s="73">
        <v>3224</v>
      </c>
      <c r="P27" s="73">
        <v>315</v>
      </c>
      <c r="Q27" s="21">
        <v>9.7704714640198524</v>
      </c>
      <c r="R27" s="37">
        <v>194</v>
      </c>
      <c r="S27" s="31">
        <v>5.4433221099887765</v>
      </c>
      <c r="T27" s="37">
        <v>57</v>
      </c>
      <c r="U27" s="30">
        <v>1.5993265993265993</v>
      </c>
    </row>
    <row r="28" spans="2:21" ht="15" customHeight="1" x14ac:dyDescent="0.25">
      <c r="B28" s="14" t="s">
        <v>198</v>
      </c>
      <c r="C28" s="17">
        <v>11421</v>
      </c>
      <c r="D28" s="25">
        <v>1143</v>
      </c>
      <c r="E28" s="21">
        <v>10.007880220646179</v>
      </c>
      <c r="F28" s="37">
        <v>10278</v>
      </c>
      <c r="G28" s="25">
        <v>3507</v>
      </c>
      <c r="H28" s="21">
        <v>34.121424401634556</v>
      </c>
      <c r="I28" s="17">
        <v>11421</v>
      </c>
      <c r="J28" s="25">
        <v>255</v>
      </c>
      <c r="K28" s="30">
        <v>2.232729183083793</v>
      </c>
      <c r="L28" s="17">
        <v>11421</v>
      </c>
      <c r="M28" s="25">
        <v>108</v>
      </c>
      <c r="N28" s="31">
        <v>0.94562647754137119</v>
      </c>
      <c r="O28" s="73">
        <v>10504</v>
      </c>
      <c r="P28" s="73">
        <v>516</v>
      </c>
      <c r="Q28" s="21">
        <v>4.9124143183549123</v>
      </c>
      <c r="R28" s="37">
        <v>699</v>
      </c>
      <c r="S28" s="31">
        <v>6.1203047018649857</v>
      </c>
      <c r="T28" s="37">
        <v>110</v>
      </c>
      <c r="U28" s="30">
        <v>0.9631380789773224</v>
      </c>
    </row>
    <row r="29" spans="2:21" ht="15" customHeight="1" x14ac:dyDescent="0.25">
      <c r="B29" s="14" t="s">
        <v>199</v>
      </c>
      <c r="C29" s="17">
        <v>0</v>
      </c>
      <c r="D29" s="25">
        <v>0</v>
      </c>
      <c r="E29" s="21">
        <v>0</v>
      </c>
      <c r="F29" s="37">
        <v>0</v>
      </c>
      <c r="G29" s="25">
        <v>0</v>
      </c>
      <c r="H29" s="21">
        <v>0</v>
      </c>
      <c r="I29" s="17">
        <v>0</v>
      </c>
      <c r="J29" s="25">
        <v>0</v>
      </c>
      <c r="K29" s="30">
        <v>0</v>
      </c>
      <c r="L29" s="17">
        <v>0</v>
      </c>
      <c r="M29" s="25">
        <v>0</v>
      </c>
      <c r="N29" s="31">
        <v>0</v>
      </c>
      <c r="O29" s="37">
        <v>0</v>
      </c>
      <c r="P29" s="25">
        <v>0</v>
      </c>
      <c r="Q29" s="21">
        <v>0</v>
      </c>
      <c r="R29" s="37">
        <v>0</v>
      </c>
      <c r="S29" s="31">
        <v>0</v>
      </c>
      <c r="T29" s="37">
        <v>0</v>
      </c>
      <c r="U29" s="30">
        <v>0</v>
      </c>
    </row>
    <row r="30" spans="2:21" ht="15" customHeight="1" x14ac:dyDescent="0.25">
      <c r="B30" s="14" t="s">
        <v>200</v>
      </c>
      <c r="C30" s="17">
        <v>1956</v>
      </c>
      <c r="D30" s="25">
        <v>92</v>
      </c>
      <c r="E30" s="21">
        <v>4.703476482617587</v>
      </c>
      <c r="F30" s="37">
        <v>1864</v>
      </c>
      <c r="G30" s="25">
        <v>301</v>
      </c>
      <c r="H30" s="21">
        <v>16.148068669527895</v>
      </c>
      <c r="I30" s="17">
        <v>1956</v>
      </c>
      <c r="J30" s="25">
        <v>38</v>
      </c>
      <c r="K30" s="30">
        <v>1.9427402862985685</v>
      </c>
      <c r="L30" s="17">
        <v>1956</v>
      </c>
      <c r="M30" s="25">
        <v>28</v>
      </c>
      <c r="N30" s="31">
        <v>1.4314928425357873</v>
      </c>
      <c r="O30" s="73">
        <v>1659</v>
      </c>
      <c r="P30" s="73">
        <v>78</v>
      </c>
      <c r="Q30" s="21">
        <v>4.7016274864376131</v>
      </c>
      <c r="R30" s="37">
        <v>206</v>
      </c>
      <c r="S30" s="31">
        <v>10.531697341513292</v>
      </c>
      <c r="T30" s="37">
        <v>63</v>
      </c>
      <c r="U30" s="30">
        <v>3.2208588957055215</v>
      </c>
    </row>
    <row r="31" spans="2:21" ht="15" customHeight="1" x14ac:dyDescent="0.25">
      <c r="B31" s="14" t="s">
        <v>201</v>
      </c>
      <c r="C31" s="17">
        <v>3407</v>
      </c>
      <c r="D31" s="25">
        <v>401</v>
      </c>
      <c r="E31" s="21">
        <v>11.769885529791607</v>
      </c>
      <c r="F31" s="37">
        <v>3006</v>
      </c>
      <c r="G31" s="25">
        <v>963</v>
      </c>
      <c r="H31" s="21">
        <v>32.035928143712574</v>
      </c>
      <c r="I31" s="17">
        <v>3407</v>
      </c>
      <c r="J31" s="25">
        <v>118</v>
      </c>
      <c r="K31" s="30">
        <v>3.4634575873202236</v>
      </c>
      <c r="L31" s="17">
        <v>3407</v>
      </c>
      <c r="M31" s="25">
        <v>65</v>
      </c>
      <c r="N31" s="31">
        <v>1.9078368065746993</v>
      </c>
      <c r="O31" s="73">
        <v>3107</v>
      </c>
      <c r="P31" s="73">
        <v>255</v>
      </c>
      <c r="Q31" s="21">
        <v>8.2072738976504667</v>
      </c>
      <c r="R31" s="37">
        <v>185</v>
      </c>
      <c r="S31" s="31">
        <v>5.4299970648664511</v>
      </c>
      <c r="T31" s="37">
        <v>50</v>
      </c>
      <c r="U31" s="30">
        <v>1.4675667742882301</v>
      </c>
    </row>
    <row r="32" spans="2:21" ht="15" customHeight="1" thickBot="1" x14ac:dyDescent="0.3">
      <c r="B32" s="13" t="s">
        <v>202</v>
      </c>
      <c r="C32" s="18">
        <v>9415</v>
      </c>
      <c r="D32" s="26">
        <v>2067</v>
      </c>
      <c r="E32" s="22">
        <v>21.95432819968136</v>
      </c>
      <c r="F32" s="38">
        <v>7348</v>
      </c>
      <c r="G32" s="26">
        <v>2960</v>
      </c>
      <c r="H32" s="22">
        <v>40.283070223189981</v>
      </c>
      <c r="I32" s="18">
        <v>9415</v>
      </c>
      <c r="J32" s="26">
        <v>807</v>
      </c>
      <c r="K32" s="32">
        <v>8.5714285714285712</v>
      </c>
      <c r="L32" s="18">
        <v>9415</v>
      </c>
      <c r="M32" s="26">
        <v>316</v>
      </c>
      <c r="N32" s="33">
        <v>3.3563462559745085</v>
      </c>
      <c r="O32" s="74">
        <v>8581</v>
      </c>
      <c r="P32" s="74">
        <v>1044</v>
      </c>
      <c r="Q32" s="22">
        <v>12.166414170842559</v>
      </c>
      <c r="R32" s="38">
        <v>394</v>
      </c>
      <c r="S32" s="33">
        <v>4.1848114710568245</v>
      </c>
      <c r="T32" s="38">
        <v>124</v>
      </c>
      <c r="U32" s="32">
        <v>1.3170472650026555</v>
      </c>
    </row>
    <row r="33" spans="2:21" ht="15" customHeight="1" thickBot="1" x14ac:dyDescent="0.3">
      <c r="B33" s="15" t="s">
        <v>44</v>
      </c>
      <c r="C33" s="19">
        <f>SUM(C8:C32)</f>
        <v>61301</v>
      </c>
      <c r="D33" s="27">
        <f>SUM(D8:D32)</f>
        <v>12606</v>
      </c>
      <c r="E33" s="23">
        <f>D33/C33*100</f>
        <v>20.564101727541146</v>
      </c>
      <c r="F33" s="39">
        <f>SUM(F8:F32)</f>
        <v>48695</v>
      </c>
      <c r="G33" s="27">
        <f>SUM(G8:G32)</f>
        <v>18989</v>
      </c>
      <c r="H33" s="23">
        <f>G33/F33*100</f>
        <v>38.995790122189142</v>
      </c>
      <c r="I33" s="27">
        <f>SUM(I8:I32)</f>
        <v>61301</v>
      </c>
      <c r="J33" s="27">
        <f>SUM(J8:J32)</f>
        <v>3773</v>
      </c>
      <c r="K33" s="34">
        <f>J33/I33*100</f>
        <v>6.1548751243862254</v>
      </c>
      <c r="L33" s="19">
        <f>SUM(L8:L32)</f>
        <v>61301</v>
      </c>
      <c r="M33" s="27">
        <f>SUM(M8:M32)</f>
        <v>1563</v>
      </c>
      <c r="N33" s="35">
        <f>M33/L33*100</f>
        <v>2.5497137077698571</v>
      </c>
      <c r="O33" s="71">
        <f>SUM(O8:O32)</f>
        <v>55326</v>
      </c>
      <c r="P33" s="71">
        <f>SUM(P8:P32)</f>
        <v>4758</v>
      </c>
      <c r="Q33" s="35">
        <f>P33/O33*100</f>
        <v>8.5999349311354507</v>
      </c>
      <c r="R33" s="39">
        <f>SUM(R8:R32)</f>
        <v>3476</v>
      </c>
      <c r="S33" s="35">
        <f>R33/L33*100</f>
        <v>5.6703805810671932</v>
      </c>
      <c r="T33" s="39">
        <f>SUM(T8:T32)</f>
        <v>936</v>
      </c>
      <c r="U33" s="34">
        <f>T33/L33*100</f>
        <v>1.5268918940963443</v>
      </c>
    </row>
    <row r="34" spans="2:21" ht="15" customHeight="1" x14ac:dyDescent="0.25">
      <c r="B34" s="2" t="str">
        <f>_xlfn.CONCAT("Fuente: Sistema de Información SIEN - HIS, ",RIGHT(INICIO!C8,4),".")</f>
        <v>Fuente: Sistema de Información SIEN - HIS, 2025.</v>
      </c>
      <c r="C34" s="2"/>
    </row>
    <row r="35" spans="2:21" ht="15" customHeight="1" x14ac:dyDescent="0.25">
      <c r="B35" s="2" t="s">
        <v>69</v>
      </c>
      <c r="C35" s="2"/>
    </row>
    <row r="36" spans="2:21" ht="15" customHeight="1" x14ac:dyDescent="0.25">
      <c r="B36" s="2" t="s">
        <v>16</v>
      </c>
      <c r="C36" s="2"/>
    </row>
    <row r="37" spans="2:21" ht="15" customHeight="1" x14ac:dyDescent="0.25">
      <c r="B37" s="2" t="s">
        <v>21</v>
      </c>
      <c r="C37" s="2"/>
    </row>
  </sheetData>
  <mergeCells count="18">
    <mergeCell ref="G6:H6"/>
    <mergeCell ref="F6:F7"/>
    <mergeCell ref="B2:U2"/>
    <mergeCell ref="B3:U3"/>
    <mergeCell ref="M6:N6"/>
    <mergeCell ref="L6:L7"/>
    <mergeCell ref="R6:S6"/>
    <mergeCell ref="B5:B7"/>
    <mergeCell ref="D6:E6"/>
    <mergeCell ref="C6:C7"/>
    <mergeCell ref="C5:H5"/>
    <mergeCell ref="I5:K5"/>
    <mergeCell ref="L5:U5"/>
    <mergeCell ref="T6:U6"/>
    <mergeCell ref="J6:K6"/>
    <mergeCell ref="P6:Q6"/>
    <mergeCell ref="O6:O7"/>
    <mergeCell ref="I6:I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B050"/>
  </sheetPr>
  <dimension ref="B2:U41"/>
  <sheetViews>
    <sheetView showGridLines="0" topLeftCell="A3" zoomScaleNormal="100" workbookViewId="0">
      <selection activeCell="B8" sqref="B8:U3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89" t="s">
        <v>45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2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2:21" ht="15" customHeight="1" thickBot="1" x14ac:dyDescent="0.3"/>
    <row r="5" spans="2:21" ht="15" customHeight="1" thickBot="1" x14ac:dyDescent="0.3">
      <c r="B5" s="92" t="s">
        <v>22</v>
      </c>
      <c r="C5" s="91" t="s">
        <v>11</v>
      </c>
      <c r="D5" s="91"/>
      <c r="E5" s="91"/>
      <c r="F5" s="91"/>
      <c r="G5" s="91"/>
      <c r="H5" s="91"/>
      <c r="I5" s="91" t="s">
        <v>12</v>
      </c>
      <c r="J5" s="91"/>
      <c r="K5" s="91"/>
      <c r="L5" s="91" t="s">
        <v>14</v>
      </c>
      <c r="M5" s="91"/>
      <c r="N5" s="91"/>
      <c r="O5" s="91"/>
      <c r="P5" s="91"/>
      <c r="Q5" s="91"/>
      <c r="R5" s="91"/>
      <c r="S5" s="91"/>
      <c r="T5" s="91"/>
      <c r="U5" s="91"/>
    </row>
    <row r="6" spans="2:21" ht="15" customHeight="1" thickBot="1" x14ac:dyDescent="0.3">
      <c r="B6" s="92"/>
      <c r="C6" s="91" t="s">
        <v>10</v>
      </c>
      <c r="D6" s="91" t="s">
        <v>9</v>
      </c>
      <c r="E6" s="91"/>
      <c r="F6" s="91" t="s">
        <v>10</v>
      </c>
      <c r="G6" s="95" t="s">
        <v>20</v>
      </c>
      <c r="H6" s="94"/>
      <c r="I6" s="91" t="s">
        <v>10</v>
      </c>
      <c r="J6" s="91" t="s">
        <v>13</v>
      </c>
      <c r="K6" s="91"/>
      <c r="L6" s="91" t="s">
        <v>10</v>
      </c>
      <c r="M6" s="91" t="s">
        <v>15</v>
      </c>
      <c r="N6" s="91"/>
      <c r="O6" s="91" t="s">
        <v>10</v>
      </c>
      <c r="P6" s="93" t="s">
        <v>41</v>
      </c>
      <c r="Q6" s="94"/>
      <c r="R6" s="91" t="s">
        <v>3</v>
      </c>
      <c r="S6" s="91"/>
      <c r="T6" s="91" t="s">
        <v>4</v>
      </c>
      <c r="U6" s="91"/>
    </row>
    <row r="7" spans="2:21" ht="30" customHeight="1" thickBot="1" x14ac:dyDescent="0.3">
      <c r="B7" s="92"/>
      <c r="C7" s="91"/>
      <c r="D7" s="9" t="s">
        <v>1</v>
      </c>
      <c r="E7" s="9" t="s">
        <v>2</v>
      </c>
      <c r="F7" s="91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13" t="s">
        <v>178</v>
      </c>
      <c r="C8" s="16">
        <v>9953</v>
      </c>
      <c r="D8" s="24">
        <v>3364</v>
      </c>
      <c r="E8" s="20">
        <v>33.798854616698485</v>
      </c>
      <c r="F8" s="36">
        <v>6589</v>
      </c>
      <c r="G8" s="24">
        <v>3504</v>
      </c>
      <c r="H8" s="20">
        <v>53.179541660342998</v>
      </c>
      <c r="I8" s="16">
        <v>9953</v>
      </c>
      <c r="J8" s="24">
        <v>769</v>
      </c>
      <c r="K8" s="28">
        <v>7.7263136742690639</v>
      </c>
      <c r="L8" s="16">
        <v>9953</v>
      </c>
      <c r="M8" s="24">
        <v>247</v>
      </c>
      <c r="N8" s="29">
        <v>2.4816638199537828</v>
      </c>
      <c r="O8" s="72">
        <v>8857</v>
      </c>
      <c r="P8" s="72">
        <v>643</v>
      </c>
      <c r="Q8" s="20">
        <v>7.2597945128147225</v>
      </c>
      <c r="R8" s="36">
        <v>655</v>
      </c>
      <c r="S8" s="29">
        <v>6.5809303727519337</v>
      </c>
      <c r="T8" s="36">
        <v>194</v>
      </c>
      <c r="U8" s="28">
        <v>1.9491610569677484</v>
      </c>
    </row>
    <row r="9" spans="2:21" ht="15" customHeight="1" x14ac:dyDescent="0.25">
      <c r="B9" s="14" t="s">
        <v>179</v>
      </c>
      <c r="C9" s="17">
        <v>0</v>
      </c>
      <c r="D9" s="25">
        <v>0</v>
      </c>
      <c r="E9" s="21">
        <v>0</v>
      </c>
      <c r="F9" s="37">
        <v>0</v>
      </c>
      <c r="G9" s="25">
        <v>0</v>
      </c>
      <c r="H9" s="21">
        <v>0</v>
      </c>
      <c r="I9" s="17">
        <v>0</v>
      </c>
      <c r="J9" s="25">
        <v>0</v>
      </c>
      <c r="K9" s="30">
        <v>0</v>
      </c>
      <c r="L9" s="17">
        <v>0</v>
      </c>
      <c r="M9" s="25">
        <v>0</v>
      </c>
      <c r="N9" s="31">
        <v>0</v>
      </c>
      <c r="O9" s="25">
        <v>0</v>
      </c>
      <c r="P9" s="25">
        <v>0</v>
      </c>
      <c r="Q9" s="21">
        <v>0</v>
      </c>
      <c r="R9" s="37">
        <v>0</v>
      </c>
      <c r="S9" s="31">
        <v>0</v>
      </c>
      <c r="T9" s="37">
        <v>0</v>
      </c>
      <c r="U9" s="30">
        <v>0</v>
      </c>
    </row>
    <row r="10" spans="2:21" ht="15" customHeight="1" x14ac:dyDescent="0.25">
      <c r="B10" s="14" t="s">
        <v>180</v>
      </c>
      <c r="C10" s="17">
        <v>0</v>
      </c>
      <c r="D10" s="25">
        <v>0</v>
      </c>
      <c r="E10" s="21">
        <v>0</v>
      </c>
      <c r="F10" s="37">
        <v>0</v>
      </c>
      <c r="G10" s="25">
        <v>0</v>
      </c>
      <c r="H10" s="21">
        <v>0</v>
      </c>
      <c r="I10" s="17">
        <v>0</v>
      </c>
      <c r="J10" s="25">
        <v>0</v>
      </c>
      <c r="K10" s="30">
        <v>0</v>
      </c>
      <c r="L10" s="17">
        <v>0</v>
      </c>
      <c r="M10" s="25">
        <v>0</v>
      </c>
      <c r="N10" s="31">
        <v>0</v>
      </c>
      <c r="O10" s="25">
        <v>0</v>
      </c>
      <c r="P10" s="25">
        <v>0</v>
      </c>
      <c r="Q10" s="21">
        <v>0</v>
      </c>
      <c r="R10" s="37">
        <v>0</v>
      </c>
      <c r="S10" s="31">
        <v>0</v>
      </c>
      <c r="T10" s="37">
        <v>0</v>
      </c>
      <c r="U10" s="30">
        <v>0</v>
      </c>
    </row>
    <row r="11" spans="2:21" ht="15" customHeight="1" x14ac:dyDescent="0.25">
      <c r="B11" s="14" t="s">
        <v>181</v>
      </c>
      <c r="C11" s="17">
        <v>0</v>
      </c>
      <c r="D11" s="25">
        <v>0</v>
      </c>
      <c r="E11" s="21">
        <v>0</v>
      </c>
      <c r="F11" s="37">
        <v>0</v>
      </c>
      <c r="G11" s="25">
        <v>0</v>
      </c>
      <c r="H11" s="21">
        <v>0</v>
      </c>
      <c r="I11" s="17">
        <v>0</v>
      </c>
      <c r="J11" s="25">
        <v>0</v>
      </c>
      <c r="K11" s="30">
        <v>0</v>
      </c>
      <c r="L11" s="17">
        <v>0</v>
      </c>
      <c r="M11" s="25">
        <v>0</v>
      </c>
      <c r="N11" s="31">
        <v>0</v>
      </c>
      <c r="O11" s="25">
        <v>0</v>
      </c>
      <c r="P11" s="25">
        <v>0</v>
      </c>
      <c r="Q11" s="21">
        <v>0</v>
      </c>
      <c r="R11" s="37">
        <v>0</v>
      </c>
      <c r="S11" s="31">
        <v>0</v>
      </c>
      <c r="T11" s="37">
        <v>0</v>
      </c>
      <c r="U11" s="30">
        <v>0</v>
      </c>
    </row>
    <row r="12" spans="2:21" ht="15" customHeight="1" x14ac:dyDescent="0.25">
      <c r="B12" s="14" t="s">
        <v>182</v>
      </c>
      <c r="C12" s="17">
        <v>0</v>
      </c>
      <c r="D12" s="25">
        <v>0</v>
      </c>
      <c r="E12" s="21">
        <v>0</v>
      </c>
      <c r="F12" s="37">
        <v>0</v>
      </c>
      <c r="G12" s="25">
        <v>0</v>
      </c>
      <c r="H12" s="21">
        <v>0</v>
      </c>
      <c r="I12" s="17">
        <v>0</v>
      </c>
      <c r="J12" s="25">
        <v>0</v>
      </c>
      <c r="K12" s="30">
        <v>0</v>
      </c>
      <c r="L12" s="17">
        <v>0</v>
      </c>
      <c r="M12" s="25">
        <v>0</v>
      </c>
      <c r="N12" s="31">
        <v>0</v>
      </c>
      <c r="O12" s="25">
        <v>0</v>
      </c>
      <c r="P12" s="25">
        <v>0</v>
      </c>
      <c r="Q12" s="21">
        <v>0</v>
      </c>
      <c r="R12" s="37">
        <v>0</v>
      </c>
      <c r="S12" s="31">
        <v>0</v>
      </c>
      <c r="T12" s="37">
        <v>0</v>
      </c>
      <c r="U12" s="30">
        <v>0</v>
      </c>
    </row>
    <row r="13" spans="2:21" ht="15" customHeight="1" x14ac:dyDescent="0.25">
      <c r="B13" s="14" t="s">
        <v>183</v>
      </c>
      <c r="C13" s="17">
        <v>4119</v>
      </c>
      <c r="D13" s="25">
        <v>818</v>
      </c>
      <c r="E13" s="21">
        <v>19.859189123573685</v>
      </c>
      <c r="F13" s="37">
        <v>3301</v>
      </c>
      <c r="G13" s="25">
        <v>1418</v>
      </c>
      <c r="H13" s="21">
        <v>42.956679794001815</v>
      </c>
      <c r="I13" s="17">
        <v>4119</v>
      </c>
      <c r="J13" s="25">
        <v>197</v>
      </c>
      <c r="K13" s="30">
        <v>4.7827142510318037</v>
      </c>
      <c r="L13" s="17">
        <v>4119</v>
      </c>
      <c r="M13" s="25">
        <v>75</v>
      </c>
      <c r="N13" s="31">
        <v>1.8208302986161691</v>
      </c>
      <c r="O13" s="25">
        <v>3788</v>
      </c>
      <c r="P13" s="25">
        <v>278</v>
      </c>
      <c r="Q13" s="21">
        <v>7.3389651531151001</v>
      </c>
      <c r="R13" s="37">
        <v>205</v>
      </c>
      <c r="S13" s="31">
        <v>4.9769361495508617</v>
      </c>
      <c r="T13" s="37">
        <v>51</v>
      </c>
      <c r="U13" s="30">
        <v>1.2381646030589948</v>
      </c>
    </row>
    <row r="14" spans="2:21" ht="15" customHeight="1" x14ac:dyDescent="0.25">
      <c r="B14" s="14" t="s">
        <v>184</v>
      </c>
      <c r="C14" s="17">
        <v>0</v>
      </c>
      <c r="D14" s="25">
        <v>0</v>
      </c>
      <c r="E14" s="21">
        <v>0</v>
      </c>
      <c r="F14" s="37">
        <v>0</v>
      </c>
      <c r="G14" s="25">
        <v>0</v>
      </c>
      <c r="H14" s="21">
        <v>0</v>
      </c>
      <c r="I14" s="17">
        <v>0</v>
      </c>
      <c r="J14" s="25">
        <v>0</v>
      </c>
      <c r="K14" s="30">
        <v>0</v>
      </c>
      <c r="L14" s="17">
        <v>0</v>
      </c>
      <c r="M14" s="25">
        <v>0</v>
      </c>
      <c r="N14" s="31">
        <v>0</v>
      </c>
      <c r="O14" s="25">
        <v>0</v>
      </c>
      <c r="P14" s="25">
        <v>0</v>
      </c>
      <c r="Q14" s="21">
        <v>0</v>
      </c>
      <c r="R14" s="37">
        <v>0</v>
      </c>
      <c r="S14" s="31">
        <v>0</v>
      </c>
      <c r="T14" s="37">
        <v>0</v>
      </c>
      <c r="U14" s="30">
        <v>0</v>
      </c>
    </row>
    <row r="15" spans="2:21" ht="15" customHeight="1" x14ac:dyDescent="0.25">
      <c r="B15" s="14" t="s">
        <v>185</v>
      </c>
      <c r="C15" s="17">
        <v>0</v>
      </c>
      <c r="D15" s="25">
        <v>0</v>
      </c>
      <c r="E15" s="21">
        <v>0</v>
      </c>
      <c r="F15" s="37">
        <v>0</v>
      </c>
      <c r="G15" s="25">
        <v>0</v>
      </c>
      <c r="H15" s="21">
        <v>0</v>
      </c>
      <c r="I15" s="17">
        <v>0</v>
      </c>
      <c r="J15" s="25">
        <v>0</v>
      </c>
      <c r="K15" s="30">
        <v>0</v>
      </c>
      <c r="L15" s="17">
        <v>0</v>
      </c>
      <c r="M15" s="25">
        <v>0</v>
      </c>
      <c r="N15" s="31">
        <v>0</v>
      </c>
      <c r="O15" s="25">
        <v>0</v>
      </c>
      <c r="P15" s="25">
        <v>0</v>
      </c>
      <c r="Q15" s="21">
        <v>0</v>
      </c>
      <c r="R15" s="37">
        <v>0</v>
      </c>
      <c r="S15" s="31">
        <v>0</v>
      </c>
      <c r="T15" s="37">
        <v>0</v>
      </c>
      <c r="U15" s="30">
        <v>0</v>
      </c>
    </row>
    <row r="16" spans="2:21" ht="15" customHeight="1" x14ac:dyDescent="0.25">
      <c r="B16" s="14" t="s">
        <v>186</v>
      </c>
      <c r="C16" s="17">
        <v>0</v>
      </c>
      <c r="D16" s="25">
        <v>0</v>
      </c>
      <c r="E16" s="21">
        <v>0</v>
      </c>
      <c r="F16" s="37">
        <v>0</v>
      </c>
      <c r="G16" s="25">
        <v>0</v>
      </c>
      <c r="H16" s="21">
        <v>0</v>
      </c>
      <c r="I16" s="17">
        <v>0</v>
      </c>
      <c r="J16" s="25">
        <v>0</v>
      </c>
      <c r="K16" s="30">
        <v>0</v>
      </c>
      <c r="L16" s="17">
        <v>0</v>
      </c>
      <c r="M16" s="25">
        <v>0</v>
      </c>
      <c r="N16" s="31">
        <v>0</v>
      </c>
      <c r="O16" s="25">
        <v>0</v>
      </c>
      <c r="P16" s="25">
        <v>0</v>
      </c>
      <c r="Q16" s="21">
        <v>0</v>
      </c>
      <c r="R16" s="37">
        <v>0</v>
      </c>
      <c r="S16" s="31">
        <v>0</v>
      </c>
      <c r="T16" s="37">
        <v>0</v>
      </c>
      <c r="U16" s="30">
        <v>0</v>
      </c>
    </row>
    <row r="17" spans="2:21" ht="15" customHeight="1" x14ac:dyDescent="0.25">
      <c r="B17" s="14" t="s">
        <v>187</v>
      </c>
      <c r="C17" s="17">
        <v>0</v>
      </c>
      <c r="D17" s="25">
        <v>0</v>
      </c>
      <c r="E17" s="21">
        <v>0</v>
      </c>
      <c r="F17" s="37">
        <v>0</v>
      </c>
      <c r="G17" s="25">
        <v>0</v>
      </c>
      <c r="H17" s="21">
        <v>0</v>
      </c>
      <c r="I17" s="17">
        <v>0</v>
      </c>
      <c r="J17" s="25">
        <v>0</v>
      </c>
      <c r="K17" s="30">
        <v>0</v>
      </c>
      <c r="L17" s="17">
        <v>0</v>
      </c>
      <c r="M17" s="25">
        <v>0</v>
      </c>
      <c r="N17" s="31">
        <v>0</v>
      </c>
      <c r="O17" s="25">
        <v>0</v>
      </c>
      <c r="P17" s="25">
        <v>0</v>
      </c>
      <c r="Q17" s="21">
        <v>0</v>
      </c>
      <c r="R17" s="37">
        <v>0</v>
      </c>
      <c r="S17" s="31">
        <v>0</v>
      </c>
      <c r="T17" s="37">
        <v>0</v>
      </c>
      <c r="U17" s="30">
        <v>0</v>
      </c>
    </row>
    <row r="18" spans="2:21" ht="15" customHeight="1" x14ac:dyDescent="0.25">
      <c r="B18" s="14" t="s">
        <v>188</v>
      </c>
      <c r="C18" s="17">
        <v>0</v>
      </c>
      <c r="D18" s="25">
        <v>0</v>
      </c>
      <c r="E18" s="21">
        <v>0</v>
      </c>
      <c r="F18" s="37">
        <v>0</v>
      </c>
      <c r="G18" s="25">
        <v>0</v>
      </c>
      <c r="H18" s="21">
        <v>0</v>
      </c>
      <c r="I18" s="17">
        <v>0</v>
      </c>
      <c r="J18" s="25">
        <v>0</v>
      </c>
      <c r="K18" s="30">
        <v>0</v>
      </c>
      <c r="L18" s="17">
        <v>0</v>
      </c>
      <c r="M18" s="25">
        <v>0</v>
      </c>
      <c r="N18" s="31">
        <v>0</v>
      </c>
      <c r="O18" s="25">
        <v>0</v>
      </c>
      <c r="P18" s="25">
        <v>0</v>
      </c>
      <c r="Q18" s="21">
        <v>0</v>
      </c>
      <c r="R18" s="37">
        <v>0</v>
      </c>
      <c r="S18" s="31">
        <v>0</v>
      </c>
      <c r="T18" s="37">
        <v>0</v>
      </c>
      <c r="U18" s="30">
        <v>0</v>
      </c>
    </row>
    <row r="19" spans="2:21" ht="15" customHeight="1" x14ac:dyDescent="0.25">
      <c r="B19" s="14" t="s">
        <v>189</v>
      </c>
      <c r="C19" s="17">
        <v>0</v>
      </c>
      <c r="D19" s="25">
        <v>0</v>
      </c>
      <c r="E19" s="21">
        <v>0</v>
      </c>
      <c r="F19" s="37">
        <v>0</v>
      </c>
      <c r="G19" s="25">
        <v>0</v>
      </c>
      <c r="H19" s="21">
        <v>0</v>
      </c>
      <c r="I19" s="17">
        <v>0</v>
      </c>
      <c r="J19" s="25">
        <v>0</v>
      </c>
      <c r="K19" s="30">
        <v>0</v>
      </c>
      <c r="L19" s="17">
        <v>0</v>
      </c>
      <c r="M19" s="25">
        <v>0</v>
      </c>
      <c r="N19" s="31">
        <v>0</v>
      </c>
      <c r="O19" s="25">
        <v>0</v>
      </c>
      <c r="P19" s="25">
        <v>0</v>
      </c>
      <c r="Q19" s="21">
        <v>0</v>
      </c>
      <c r="R19" s="37">
        <v>0</v>
      </c>
      <c r="S19" s="31">
        <v>0</v>
      </c>
      <c r="T19" s="37">
        <v>0</v>
      </c>
      <c r="U19" s="30">
        <v>0</v>
      </c>
    </row>
    <row r="20" spans="2:21" ht="15" customHeight="1" x14ac:dyDescent="0.25">
      <c r="B20" s="14" t="s">
        <v>190</v>
      </c>
      <c r="C20" s="17">
        <v>0</v>
      </c>
      <c r="D20" s="25">
        <v>0</v>
      </c>
      <c r="E20" s="21">
        <v>0</v>
      </c>
      <c r="F20" s="37">
        <v>0</v>
      </c>
      <c r="G20" s="25">
        <v>0</v>
      </c>
      <c r="H20" s="21">
        <v>0</v>
      </c>
      <c r="I20" s="17">
        <v>0</v>
      </c>
      <c r="J20" s="25">
        <v>0</v>
      </c>
      <c r="K20" s="30">
        <v>0</v>
      </c>
      <c r="L20" s="17">
        <v>0</v>
      </c>
      <c r="M20" s="25">
        <v>0</v>
      </c>
      <c r="N20" s="31">
        <v>0</v>
      </c>
      <c r="O20" s="25">
        <v>0</v>
      </c>
      <c r="P20" s="25">
        <v>0</v>
      </c>
      <c r="Q20" s="21">
        <v>0</v>
      </c>
      <c r="R20" s="37">
        <v>0</v>
      </c>
      <c r="S20" s="31">
        <v>0</v>
      </c>
      <c r="T20" s="37">
        <v>0</v>
      </c>
      <c r="U20" s="30">
        <v>0</v>
      </c>
    </row>
    <row r="21" spans="2:21" ht="15" customHeight="1" x14ac:dyDescent="0.25">
      <c r="B21" s="14" t="s">
        <v>191</v>
      </c>
      <c r="C21" s="17">
        <v>0</v>
      </c>
      <c r="D21" s="25">
        <v>0</v>
      </c>
      <c r="E21" s="21">
        <v>0</v>
      </c>
      <c r="F21" s="37">
        <v>0</v>
      </c>
      <c r="G21" s="25">
        <v>0</v>
      </c>
      <c r="H21" s="21">
        <v>0</v>
      </c>
      <c r="I21" s="17">
        <v>0</v>
      </c>
      <c r="J21" s="25">
        <v>0</v>
      </c>
      <c r="K21" s="30">
        <v>0</v>
      </c>
      <c r="L21" s="17">
        <v>0</v>
      </c>
      <c r="M21" s="25">
        <v>0</v>
      </c>
      <c r="N21" s="31">
        <v>0</v>
      </c>
      <c r="O21" s="25">
        <v>0</v>
      </c>
      <c r="P21" s="25">
        <v>0</v>
      </c>
      <c r="Q21" s="21">
        <v>0</v>
      </c>
      <c r="R21" s="37">
        <v>0</v>
      </c>
      <c r="S21" s="31">
        <v>0</v>
      </c>
      <c r="T21" s="37">
        <v>0</v>
      </c>
      <c r="U21" s="30">
        <v>0</v>
      </c>
    </row>
    <row r="22" spans="2:21" ht="15" customHeight="1" x14ac:dyDescent="0.25">
      <c r="B22" s="14" t="s">
        <v>203</v>
      </c>
      <c r="C22" s="17">
        <v>0</v>
      </c>
      <c r="D22" s="25">
        <v>0</v>
      </c>
      <c r="E22" s="21">
        <v>0</v>
      </c>
      <c r="F22" s="37">
        <v>0</v>
      </c>
      <c r="G22" s="25">
        <v>0</v>
      </c>
      <c r="H22" s="21">
        <v>0</v>
      </c>
      <c r="I22" s="17">
        <v>0</v>
      </c>
      <c r="J22" s="25">
        <v>0</v>
      </c>
      <c r="K22" s="30">
        <v>0</v>
      </c>
      <c r="L22" s="17">
        <v>0</v>
      </c>
      <c r="M22" s="25">
        <v>0</v>
      </c>
      <c r="N22" s="31">
        <v>0</v>
      </c>
      <c r="O22" s="25">
        <v>0</v>
      </c>
      <c r="P22" s="25">
        <v>0</v>
      </c>
      <c r="Q22" s="21">
        <v>0</v>
      </c>
      <c r="R22" s="37">
        <v>0</v>
      </c>
      <c r="S22" s="31">
        <v>0</v>
      </c>
      <c r="T22" s="37">
        <v>0</v>
      </c>
      <c r="U22" s="30">
        <v>0</v>
      </c>
    </row>
    <row r="23" spans="2:21" ht="15" customHeight="1" x14ac:dyDescent="0.25">
      <c r="B23" s="14" t="s">
        <v>204</v>
      </c>
      <c r="C23" s="17">
        <v>0</v>
      </c>
      <c r="D23" s="25">
        <v>0</v>
      </c>
      <c r="E23" s="21">
        <v>0</v>
      </c>
      <c r="F23" s="37">
        <v>0</v>
      </c>
      <c r="G23" s="25">
        <v>0</v>
      </c>
      <c r="H23" s="21">
        <v>0</v>
      </c>
      <c r="I23" s="17">
        <v>0</v>
      </c>
      <c r="J23" s="25">
        <v>0</v>
      </c>
      <c r="K23" s="30">
        <v>0</v>
      </c>
      <c r="L23" s="17">
        <v>0</v>
      </c>
      <c r="M23" s="25">
        <v>0</v>
      </c>
      <c r="N23" s="31">
        <v>0</v>
      </c>
      <c r="O23" s="25">
        <v>0</v>
      </c>
      <c r="P23" s="25">
        <v>0</v>
      </c>
      <c r="Q23" s="21">
        <v>0</v>
      </c>
      <c r="R23" s="37">
        <v>0</v>
      </c>
      <c r="S23" s="31">
        <v>0</v>
      </c>
      <c r="T23" s="37">
        <v>0</v>
      </c>
      <c r="U23" s="30">
        <v>0</v>
      </c>
    </row>
    <row r="24" spans="2:21" ht="15" customHeight="1" x14ac:dyDescent="0.25">
      <c r="B24" s="14" t="s">
        <v>205</v>
      </c>
      <c r="C24" s="17">
        <v>0</v>
      </c>
      <c r="D24" s="25">
        <v>0</v>
      </c>
      <c r="E24" s="21">
        <v>0</v>
      </c>
      <c r="F24" s="37">
        <v>0</v>
      </c>
      <c r="G24" s="25">
        <v>0</v>
      </c>
      <c r="H24" s="21">
        <v>0</v>
      </c>
      <c r="I24" s="17">
        <v>0</v>
      </c>
      <c r="J24" s="25">
        <v>0</v>
      </c>
      <c r="K24" s="30">
        <v>0</v>
      </c>
      <c r="L24" s="17">
        <v>0</v>
      </c>
      <c r="M24" s="25">
        <v>0</v>
      </c>
      <c r="N24" s="31">
        <v>0</v>
      </c>
      <c r="O24" s="25">
        <v>0</v>
      </c>
      <c r="P24" s="25">
        <v>0</v>
      </c>
      <c r="Q24" s="21">
        <v>0</v>
      </c>
      <c r="R24" s="37">
        <v>0</v>
      </c>
      <c r="S24" s="31">
        <v>0</v>
      </c>
      <c r="T24" s="37">
        <v>0</v>
      </c>
      <c r="U24" s="30">
        <v>0</v>
      </c>
    </row>
    <row r="25" spans="2:21" ht="15" customHeight="1" x14ac:dyDescent="0.25">
      <c r="B25" s="14" t="s">
        <v>206</v>
      </c>
      <c r="C25" s="17">
        <v>0</v>
      </c>
      <c r="D25" s="25">
        <v>0</v>
      </c>
      <c r="E25" s="21">
        <v>0</v>
      </c>
      <c r="F25" s="37">
        <v>0</v>
      </c>
      <c r="G25" s="25">
        <v>0</v>
      </c>
      <c r="H25" s="21">
        <v>0</v>
      </c>
      <c r="I25" s="17">
        <v>0</v>
      </c>
      <c r="J25" s="25">
        <v>0</v>
      </c>
      <c r="K25" s="30">
        <v>0</v>
      </c>
      <c r="L25" s="17">
        <v>0</v>
      </c>
      <c r="M25" s="25">
        <v>0</v>
      </c>
      <c r="N25" s="31">
        <v>0</v>
      </c>
      <c r="O25" s="25">
        <v>0</v>
      </c>
      <c r="P25" s="25">
        <v>0</v>
      </c>
      <c r="Q25" s="21">
        <v>0</v>
      </c>
      <c r="R25" s="37">
        <v>0</v>
      </c>
      <c r="S25" s="31">
        <v>0</v>
      </c>
      <c r="T25" s="37">
        <v>0</v>
      </c>
      <c r="U25" s="30">
        <v>0</v>
      </c>
    </row>
    <row r="26" spans="2:21" ht="15" customHeight="1" x14ac:dyDescent="0.25">
      <c r="B26" s="14" t="s">
        <v>207</v>
      </c>
      <c r="C26" s="17">
        <v>0</v>
      </c>
      <c r="D26" s="25">
        <v>0</v>
      </c>
      <c r="E26" s="21">
        <v>0</v>
      </c>
      <c r="F26" s="37">
        <v>0</v>
      </c>
      <c r="G26" s="25">
        <v>0</v>
      </c>
      <c r="H26" s="21">
        <v>0</v>
      </c>
      <c r="I26" s="17">
        <v>0</v>
      </c>
      <c r="J26" s="25">
        <v>0</v>
      </c>
      <c r="K26" s="30">
        <v>0</v>
      </c>
      <c r="L26" s="17">
        <v>0</v>
      </c>
      <c r="M26" s="25">
        <v>0</v>
      </c>
      <c r="N26" s="31">
        <v>0</v>
      </c>
      <c r="O26" s="25">
        <v>0</v>
      </c>
      <c r="P26" s="25">
        <v>0</v>
      </c>
      <c r="Q26" s="21">
        <v>0</v>
      </c>
      <c r="R26" s="37">
        <v>0</v>
      </c>
      <c r="S26" s="31">
        <v>0</v>
      </c>
      <c r="T26" s="37">
        <v>0</v>
      </c>
      <c r="U26" s="30">
        <v>0</v>
      </c>
    </row>
    <row r="27" spans="2:21" ht="15" customHeight="1" x14ac:dyDescent="0.25">
      <c r="B27" s="14" t="s">
        <v>193</v>
      </c>
      <c r="C27" s="17">
        <v>11368</v>
      </c>
      <c r="D27" s="25">
        <v>3383</v>
      </c>
      <c r="E27" s="21">
        <v>29.75897255453906</v>
      </c>
      <c r="F27" s="37">
        <v>7985</v>
      </c>
      <c r="G27" s="25">
        <v>3739</v>
      </c>
      <c r="H27" s="21">
        <v>46.825297432686284</v>
      </c>
      <c r="I27" s="17">
        <v>11368</v>
      </c>
      <c r="J27" s="25">
        <v>1158</v>
      </c>
      <c r="K27" s="30">
        <v>10.186488388458832</v>
      </c>
      <c r="L27" s="17">
        <v>11368</v>
      </c>
      <c r="M27" s="25">
        <v>514</v>
      </c>
      <c r="N27" s="31">
        <v>4.5214637579169592</v>
      </c>
      <c r="O27" s="25">
        <v>10026</v>
      </c>
      <c r="P27" s="25">
        <v>1082</v>
      </c>
      <c r="Q27" s="21">
        <v>10.791940953520845</v>
      </c>
      <c r="R27" s="37">
        <v>626</v>
      </c>
      <c r="S27" s="31">
        <v>5.5066854327938071</v>
      </c>
      <c r="T27" s="37">
        <v>202</v>
      </c>
      <c r="U27" s="30">
        <v>1.7769176636171711</v>
      </c>
    </row>
    <row r="28" spans="2:21" ht="15" customHeight="1" x14ac:dyDescent="0.25">
      <c r="B28" s="14" t="s">
        <v>194</v>
      </c>
      <c r="C28" s="17">
        <v>6098</v>
      </c>
      <c r="D28" s="25">
        <v>583</v>
      </c>
      <c r="E28" s="21">
        <v>9.5605116431616928</v>
      </c>
      <c r="F28" s="37">
        <v>5515</v>
      </c>
      <c r="G28" s="25">
        <v>1486</v>
      </c>
      <c r="H28" s="21">
        <v>26.944696282864918</v>
      </c>
      <c r="I28" s="17">
        <v>6098</v>
      </c>
      <c r="J28" s="25">
        <v>214</v>
      </c>
      <c r="K28" s="30">
        <v>3.5093473269924571</v>
      </c>
      <c r="L28" s="17">
        <v>6098</v>
      </c>
      <c r="M28" s="25">
        <v>121</v>
      </c>
      <c r="N28" s="31">
        <v>1.984257133486389</v>
      </c>
      <c r="O28" s="25">
        <v>5580</v>
      </c>
      <c r="P28" s="25">
        <v>547</v>
      </c>
      <c r="Q28" s="21">
        <v>9.8028673835125453</v>
      </c>
      <c r="R28" s="37">
        <v>312</v>
      </c>
      <c r="S28" s="31">
        <v>5.1164316169235811</v>
      </c>
      <c r="T28" s="37">
        <v>85</v>
      </c>
      <c r="U28" s="30">
        <v>1.3938996392259757</v>
      </c>
    </row>
    <row r="29" spans="2:21" ht="15" customHeight="1" x14ac:dyDescent="0.25">
      <c r="B29" s="14" t="s">
        <v>195</v>
      </c>
      <c r="C29" s="17">
        <v>0</v>
      </c>
      <c r="D29" s="25">
        <v>0</v>
      </c>
      <c r="E29" s="21">
        <v>0</v>
      </c>
      <c r="F29" s="37">
        <v>0</v>
      </c>
      <c r="G29" s="25">
        <v>0</v>
      </c>
      <c r="H29" s="21">
        <v>0</v>
      </c>
      <c r="I29" s="17">
        <v>0</v>
      </c>
      <c r="J29" s="25">
        <v>0</v>
      </c>
      <c r="K29" s="30">
        <v>0</v>
      </c>
      <c r="L29" s="17">
        <v>0</v>
      </c>
      <c r="M29" s="25">
        <v>0</v>
      </c>
      <c r="N29" s="31">
        <v>0</v>
      </c>
      <c r="O29" s="25">
        <v>0</v>
      </c>
      <c r="P29" s="25">
        <v>0</v>
      </c>
      <c r="Q29" s="21">
        <v>0</v>
      </c>
      <c r="R29" s="37">
        <v>0</v>
      </c>
      <c r="S29" s="31">
        <v>0</v>
      </c>
      <c r="T29" s="37">
        <v>0</v>
      </c>
      <c r="U29" s="30">
        <v>0</v>
      </c>
    </row>
    <row r="30" spans="2:21" ht="15" customHeight="1" x14ac:dyDescent="0.25">
      <c r="B30" s="14" t="s">
        <v>196</v>
      </c>
      <c r="C30" s="17">
        <v>0</v>
      </c>
      <c r="D30" s="25">
        <v>0</v>
      </c>
      <c r="E30" s="21">
        <v>0</v>
      </c>
      <c r="F30" s="37">
        <v>0</v>
      </c>
      <c r="G30" s="25">
        <v>0</v>
      </c>
      <c r="H30" s="21">
        <v>0</v>
      </c>
      <c r="I30" s="17">
        <v>0</v>
      </c>
      <c r="J30" s="25">
        <v>0</v>
      </c>
      <c r="K30" s="30">
        <v>0</v>
      </c>
      <c r="L30" s="17">
        <v>0</v>
      </c>
      <c r="M30" s="25">
        <v>0</v>
      </c>
      <c r="N30" s="31">
        <v>0</v>
      </c>
      <c r="O30" s="25">
        <v>0</v>
      </c>
      <c r="P30" s="25">
        <v>0</v>
      </c>
      <c r="Q30" s="21">
        <v>0</v>
      </c>
      <c r="R30" s="37">
        <v>0</v>
      </c>
      <c r="S30" s="31">
        <v>0</v>
      </c>
      <c r="T30" s="37">
        <v>0</v>
      </c>
      <c r="U30" s="30">
        <v>0</v>
      </c>
    </row>
    <row r="31" spans="2:21" ht="15" customHeight="1" x14ac:dyDescent="0.25">
      <c r="B31" s="14" t="s">
        <v>197</v>
      </c>
      <c r="C31" s="17">
        <v>3564</v>
      </c>
      <c r="D31" s="25">
        <v>755</v>
      </c>
      <c r="E31" s="21">
        <v>21.184062850729518</v>
      </c>
      <c r="F31" s="37">
        <v>2809</v>
      </c>
      <c r="G31" s="25">
        <v>1111</v>
      </c>
      <c r="H31" s="21">
        <v>39.551441794232822</v>
      </c>
      <c r="I31" s="17">
        <v>3564</v>
      </c>
      <c r="J31" s="25">
        <v>217</v>
      </c>
      <c r="K31" s="30">
        <v>6.0886644219977555</v>
      </c>
      <c r="L31" s="17">
        <v>3564</v>
      </c>
      <c r="M31" s="25">
        <v>89</v>
      </c>
      <c r="N31" s="31">
        <v>2.4971941638608306</v>
      </c>
      <c r="O31" s="25">
        <v>3224</v>
      </c>
      <c r="P31" s="25">
        <v>315</v>
      </c>
      <c r="Q31" s="21">
        <v>9.7704714640198524</v>
      </c>
      <c r="R31" s="37">
        <v>194</v>
      </c>
      <c r="S31" s="31">
        <v>5.4433221099887765</v>
      </c>
      <c r="T31" s="37">
        <v>57</v>
      </c>
      <c r="U31" s="30">
        <v>1.5993265993265993</v>
      </c>
    </row>
    <row r="32" spans="2:21" ht="15" customHeight="1" x14ac:dyDescent="0.25">
      <c r="B32" s="14" t="s">
        <v>198</v>
      </c>
      <c r="C32" s="17">
        <v>11421</v>
      </c>
      <c r="D32" s="25">
        <v>1143</v>
      </c>
      <c r="E32" s="21">
        <v>10.007880220646179</v>
      </c>
      <c r="F32" s="37">
        <v>10278</v>
      </c>
      <c r="G32" s="25">
        <v>3507</v>
      </c>
      <c r="H32" s="21">
        <v>34.121424401634556</v>
      </c>
      <c r="I32" s="17">
        <v>11421</v>
      </c>
      <c r="J32" s="25">
        <v>255</v>
      </c>
      <c r="K32" s="30">
        <v>2.232729183083793</v>
      </c>
      <c r="L32" s="17">
        <v>11421</v>
      </c>
      <c r="M32" s="25">
        <v>108</v>
      </c>
      <c r="N32" s="31">
        <v>0.94562647754137119</v>
      </c>
      <c r="O32" s="25">
        <v>10504</v>
      </c>
      <c r="P32" s="25">
        <v>516</v>
      </c>
      <c r="Q32" s="21">
        <v>4.9124143183549123</v>
      </c>
      <c r="R32" s="37">
        <v>699</v>
      </c>
      <c r="S32" s="31">
        <v>6.1203047018649857</v>
      </c>
      <c r="T32" s="37">
        <v>110</v>
      </c>
      <c r="U32" s="30">
        <v>0.9631380789773224</v>
      </c>
    </row>
    <row r="33" spans="2:21" ht="15" customHeight="1" x14ac:dyDescent="0.25">
      <c r="B33" s="14" t="s">
        <v>199</v>
      </c>
      <c r="C33" s="17">
        <v>0</v>
      </c>
      <c r="D33" s="25">
        <v>0</v>
      </c>
      <c r="E33" s="21">
        <v>0</v>
      </c>
      <c r="F33" s="37">
        <v>0</v>
      </c>
      <c r="G33" s="25">
        <v>0</v>
      </c>
      <c r="H33" s="21">
        <v>0</v>
      </c>
      <c r="I33" s="17">
        <v>0</v>
      </c>
      <c r="J33" s="25">
        <v>0</v>
      </c>
      <c r="K33" s="30">
        <v>0</v>
      </c>
      <c r="L33" s="17">
        <v>0</v>
      </c>
      <c r="M33" s="25">
        <v>0</v>
      </c>
      <c r="N33" s="31">
        <v>0</v>
      </c>
      <c r="O33" s="25">
        <v>0</v>
      </c>
      <c r="P33" s="25">
        <v>0</v>
      </c>
      <c r="Q33" s="21">
        <v>0</v>
      </c>
      <c r="R33" s="37">
        <v>0</v>
      </c>
      <c r="S33" s="31">
        <v>0</v>
      </c>
      <c r="T33" s="37">
        <v>0</v>
      </c>
      <c r="U33" s="30">
        <v>0</v>
      </c>
    </row>
    <row r="34" spans="2:21" ht="15" customHeight="1" x14ac:dyDescent="0.25">
      <c r="B34" s="14" t="s">
        <v>200</v>
      </c>
      <c r="C34" s="17">
        <v>1956</v>
      </c>
      <c r="D34" s="25">
        <v>92</v>
      </c>
      <c r="E34" s="21">
        <v>4.703476482617587</v>
      </c>
      <c r="F34" s="37">
        <v>1864</v>
      </c>
      <c r="G34" s="25">
        <v>301</v>
      </c>
      <c r="H34" s="21">
        <v>16.148068669527895</v>
      </c>
      <c r="I34" s="17">
        <v>1956</v>
      </c>
      <c r="J34" s="25">
        <v>38</v>
      </c>
      <c r="K34" s="30">
        <v>1.9427402862985685</v>
      </c>
      <c r="L34" s="17">
        <v>1956</v>
      </c>
      <c r="M34" s="25">
        <v>28</v>
      </c>
      <c r="N34" s="31">
        <v>1.4314928425357873</v>
      </c>
      <c r="O34" s="25">
        <v>1659</v>
      </c>
      <c r="P34" s="25">
        <v>78</v>
      </c>
      <c r="Q34" s="21">
        <v>4.7016274864376131</v>
      </c>
      <c r="R34" s="37">
        <v>206</v>
      </c>
      <c r="S34" s="31">
        <v>10.531697341513292</v>
      </c>
      <c r="T34" s="37">
        <v>63</v>
      </c>
      <c r="U34" s="30">
        <v>3.2208588957055215</v>
      </c>
    </row>
    <row r="35" spans="2:21" ht="15" customHeight="1" x14ac:dyDescent="0.25">
      <c r="B35" s="14" t="s">
        <v>201</v>
      </c>
      <c r="C35" s="17">
        <v>3407</v>
      </c>
      <c r="D35" s="25">
        <v>401</v>
      </c>
      <c r="E35" s="21">
        <v>11.769885529791607</v>
      </c>
      <c r="F35" s="37">
        <v>3006</v>
      </c>
      <c r="G35" s="25">
        <v>963</v>
      </c>
      <c r="H35" s="21">
        <v>32.035928143712574</v>
      </c>
      <c r="I35" s="17">
        <v>3407</v>
      </c>
      <c r="J35" s="25">
        <v>118</v>
      </c>
      <c r="K35" s="30">
        <v>3.4634575873202236</v>
      </c>
      <c r="L35" s="17">
        <v>3407</v>
      </c>
      <c r="M35" s="25">
        <v>65</v>
      </c>
      <c r="N35" s="31">
        <v>1.9078368065746993</v>
      </c>
      <c r="O35" s="25">
        <v>3107</v>
      </c>
      <c r="P35" s="25">
        <v>255</v>
      </c>
      <c r="Q35" s="21">
        <v>8.2072738976504667</v>
      </c>
      <c r="R35" s="37">
        <v>185</v>
      </c>
      <c r="S35" s="31">
        <v>5.4299970648664511</v>
      </c>
      <c r="T35" s="37">
        <v>50</v>
      </c>
      <c r="U35" s="30">
        <v>1.4675667742882301</v>
      </c>
    </row>
    <row r="36" spans="2:21" ht="15" customHeight="1" thickBot="1" x14ac:dyDescent="0.3">
      <c r="B36" s="13" t="s">
        <v>202</v>
      </c>
      <c r="C36" s="18">
        <v>9415</v>
      </c>
      <c r="D36" s="26">
        <v>2067</v>
      </c>
      <c r="E36" s="22">
        <v>21.95432819968136</v>
      </c>
      <c r="F36" s="38">
        <v>7348</v>
      </c>
      <c r="G36" s="26">
        <v>2960</v>
      </c>
      <c r="H36" s="22">
        <v>40.283070223189981</v>
      </c>
      <c r="I36" s="18">
        <v>9415</v>
      </c>
      <c r="J36" s="26">
        <v>807</v>
      </c>
      <c r="K36" s="32">
        <v>8.5714285714285712</v>
      </c>
      <c r="L36" s="18">
        <v>9415</v>
      </c>
      <c r="M36" s="26">
        <v>316</v>
      </c>
      <c r="N36" s="33">
        <v>3.3563462559745085</v>
      </c>
      <c r="O36" s="26">
        <v>8581</v>
      </c>
      <c r="P36" s="26">
        <v>1044</v>
      </c>
      <c r="Q36" s="22">
        <v>12.166414170842559</v>
      </c>
      <c r="R36" s="38">
        <v>394</v>
      </c>
      <c r="S36" s="33">
        <v>4.1848114710568245</v>
      </c>
      <c r="T36" s="38">
        <v>124</v>
      </c>
      <c r="U36" s="32">
        <v>1.3170472650026555</v>
      </c>
    </row>
    <row r="37" spans="2:21" ht="15" customHeight="1" thickBot="1" x14ac:dyDescent="0.3">
      <c r="B37" s="15" t="s">
        <v>44</v>
      </c>
      <c r="C37" s="19">
        <f>SUM(C8:C36)</f>
        <v>61301</v>
      </c>
      <c r="D37" s="27">
        <f>SUM(D8:D36)</f>
        <v>12606</v>
      </c>
      <c r="E37" s="23">
        <f>D37/C37*100</f>
        <v>20.564101727541146</v>
      </c>
      <c r="F37" s="39">
        <f>SUM(F8:F36)</f>
        <v>48695</v>
      </c>
      <c r="G37" s="39">
        <f>SUM(G8:G36)</f>
        <v>18989</v>
      </c>
      <c r="H37" s="23">
        <f>G37/F37*100</f>
        <v>38.995790122189142</v>
      </c>
      <c r="I37" s="19">
        <f>SUM(I8:I36)</f>
        <v>61301</v>
      </c>
      <c r="J37" s="27">
        <f>SUM(J8:J36)</f>
        <v>3773</v>
      </c>
      <c r="K37" s="34">
        <f>J37/I37*100</f>
        <v>6.1548751243862254</v>
      </c>
      <c r="L37" s="19">
        <f>SUM(L8:L36)</f>
        <v>61301</v>
      </c>
      <c r="M37" s="27">
        <f>SUM(M8:M36)</f>
        <v>1563</v>
      </c>
      <c r="N37" s="35">
        <f>M37/L37*100</f>
        <v>2.5497137077698571</v>
      </c>
      <c r="O37" s="27">
        <f>SUM(O8:O36)</f>
        <v>55326</v>
      </c>
      <c r="P37" s="27">
        <f>SUM(P8:P36)</f>
        <v>4758</v>
      </c>
      <c r="Q37" s="35">
        <f>P37/O37*100</f>
        <v>8.5999349311354507</v>
      </c>
      <c r="R37" s="39">
        <f>SUM(R8:R36)</f>
        <v>3476</v>
      </c>
      <c r="S37" s="35">
        <f>R37/L37*100</f>
        <v>5.6703805810671932</v>
      </c>
      <c r="T37" s="39">
        <f>SUM(T8:T36)</f>
        <v>936</v>
      </c>
      <c r="U37" s="34">
        <f>T37/L37*100</f>
        <v>1.5268918940963443</v>
      </c>
    </row>
    <row r="38" spans="2:21" ht="15" customHeight="1" x14ac:dyDescent="0.25">
      <c r="B38" s="2" t="str">
        <f>_xlfn.CONCAT("Fuente: Sistema de Información SIEN - HIS, ",RIGHT(INICIO!C8,4),".")</f>
        <v>Fuente: Sistema de Información SIEN - HIS, 2025.</v>
      </c>
      <c r="C38" s="2"/>
    </row>
    <row r="39" spans="2:21" ht="15" customHeight="1" x14ac:dyDescent="0.25">
      <c r="B39" s="2" t="s">
        <v>69</v>
      </c>
      <c r="C39" s="2"/>
    </row>
    <row r="40" spans="2:21" ht="15" customHeight="1" x14ac:dyDescent="0.25">
      <c r="B40" s="2" t="s">
        <v>16</v>
      </c>
      <c r="C40" s="2"/>
    </row>
    <row r="41" spans="2:21" ht="15" customHeight="1" x14ac:dyDescent="0.25">
      <c r="B41" s="2" t="s">
        <v>21</v>
      </c>
      <c r="C41" s="2"/>
    </row>
  </sheetData>
  <sortState xmlns:xlrd2="http://schemas.microsoft.com/office/spreadsheetml/2017/richdata2" ref="B8:U36">
    <sortCondition ref="B8:B36"/>
  </sortState>
  <mergeCells count="18">
    <mergeCell ref="G6:H6"/>
    <mergeCell ref="F6:F7"/>
    <mergeCell ref="B2:U2"/>
    <mergeCell ref="B3:U3"/>
    <mergeCell ref="B5:B7"/>
    <mergeCell ref="C5:H5"/>
    <mergeCell ref="I5:K5"/>
    <mergeCell ref="L5:U5"/>
    <mergeCell ref="C6:C7"/>
    <mergeCell ref="D6:E6"/>
    <mergeCell ref="I6:I7"/>
    <mergeCell ref="J6:K6"/>
    <mergeCell ref="L6:L7"/>
    <mergeCell ref="M6:N6"/>
    <mergeCell ref="R6:S6"/>
    <mergeCell ref="P6:Q6"/>
    <mergeCell ref="O6:O7"/>
    <mergeCell ref="T6:U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B050"/>
  </sheetPr>
  <dimension ref="B2:X98"/>
  <sheetViews>
    <sheetView showGridLines="0" workbookViewId="0">
      <selection activeCell="B8" sqref="B8:X9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4" width="12.7109375" style="1" customWidth="1"/>
    <col min="25" max="16384" width="11.42578125" style="1"/>
  </cols>
  <sheetData>
    <row r="2" spans="2:24" ht="84.95" customHeight="1" x14ac:dyDescent="0.25">
      <c r="B2" s="89" t="s">
        <v>46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2:24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2:24" ht="15" customHeight="1" thickBot="1" x14ac:dyDescent="0.3"/>
    <row r="5" spans="2:24" ht="15" customHeight="1" thickBot="1" x14ac:dyDescent="0.3">
      <c r="B5" s="92" t="s">
        <v>0</v>
      </c>
      <c r="C5" s="92" t="s">
        <v>5</v>
      </c>
      <c r="D5" s="92" t="s">
        <v>6</v>
      </c>
      <c r="E5" s="92" t="s">
        <v>7</v>
      </c>
      <c r="F5" s="91" t="s">
        <v>11</v>
      </c>
      <c r="G5" s="91"/>
      <c r="H5" s="91"/>
      <c r="I5" s="91"/>
      <c r="J5" s="91"/>
      <c r="K5" s="91"/>
      <c r="L5" s="91" t="s">
        <v>12</v>
      </c>
      <c r="M5" s="91"/>
      <c r="N5" s="91"/>
      <c r="O5" s="91" t="s">
        <v>14</v>
      </c>
      <c r="P5" s="91"/>
      <c r="Q5" s="91"/>
      <c r="R5" s="91"/>
      <c r="S5" s="91"/>
      <c r="T5" s="91"/>
      <c r="U5" s="91"/>
      <c r="V5" s="91"/>
      <c r="W5" s="91"/>
      <c r="X5" s="91"/>
    </row>
    <row r="6" spans="2:24" ht="15" customHeight="1" thickBot="1" x14ac:dyDescent="0.3">
      <c r="B6" s="92"/>
      <c r="C6" s="92"/>
      <c r="D6" s="92"/>
      <c r="E6" s="92"/>
      <c r="F6" s="91" t="s">
        <v>10</v>
      </c>
      <c r="G6" s="91" t="s">
        <v>9</v>
      </c>
      <c r="H6" s="91"/>
      <c r="I6" s="96" t="s">
        <v>10</v>
      </c>
      <c r="J6" s="95" t="s">
        <v>20</v>
      </c>
      <c r="K6" s="94"/>
      <c r="L6" s="91" t="s">
        <v>10</v>
      </c>
      <c r="M6" s="91" t="s">
        <v>13</v>
      </c>
      <c r="N6" s="91"/>
      <c r="O6" s="91" t="s">
        <v>10</v>
      </c>
      <c r="P6" s="91" t="s">
        <v>15</v>
      </c>
      <c r="Q6" s="91"/>
      <c r="R6" s="91" t="s">
        <v>10</v>
      </c>
      <c r="S6" s="93" t="s">
        <v>41</v>
      </c>
      <c r="T6" s="94"/>
      <c r="U6" s="91" t="s">
        <v>3</v>
      </c>
      <c r="V6" s="91"/>
      <c r="W6" s="91" t="s">
        <v>4</v>
      </c>
      <c r="X6" s="91"/>
    </row>
    <row r="7" spans="2:24" ht="30" customHeight="1" thickBot="1" x14ac:dyDescent="0.3">
      <c r="B7" s="92"/>
      <c r="C7" s="92"/>
      <c r="D7" s="92"/>
      <c r="E7" s="92"/>
      <c r="F7" s="91"/>
      <c r="G7" s="9" t="s">
        <v>1</v>
      </c>
      <c r="H7" s="9" t="s">
        <v>2</v>
      </c>
      <c r="I7" s="97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1"/>
      <c r="S7" s="9" t="s">
        <v>1</v>
      </c>
      <c r="T7" s="9" t="s">
        <v>2</v>
      </c>
      <c r="U7" s="9" t="s">
        <v>1</v>
      </c>
      <c r="V7" s="9" t="s">
        <v>2</v>
      </c>
      <c r="W7" s="9" t="s">
        <v>1</v>
      </c>
      <c r="X7" s="9" t="s">
        <v>2</v>
      </c>
    </row>
    <row r="8" spans="2:24" ht="15" customHeight="1" x14ac:dyDescent="0.25">
      <c r="B8" s="4" t="s">
        <v>178</v>
      </c>
      <c r="C8" s="7" t="s">
        <v>208</v>
      </c>
      <c r="D8" s="6" t="s">
        <v>209</v>
      </c>
      <c r="E8" s="43">
        <v>10205</v>
      </c>
      <c r="F8" s="16">
        <v>4897</v>
      </c>
      <c r="G8" s="24">
        <v>1627</v>
      </c>
      <c r="H8" s="20">
        <v>33.224423116193584</v>
      </c>
      <c r="I8" s="36">
        <v>3270</v>
      </c>
      <c r="J8" s="24">
        <v>1750</v>
      </c>
      <c r="K8" s="20">
        <v>53.516819571865447</v>
      </c>
      <c r="L8" s="16">
        <v>4897</v>
      </c>
      <c r="M8" s="24">
        <v>296</v>
      </c>
      <c r="N8" s="28">
        <v>6.0445170512558715</v>
      </c>
      <c r="O8" s="16">
        <v>4897</v>
      </c>
      <c r="P8" s="24">
        <v>100</v>
      </c>
      <c r="Q8" s="29">
        <v>2.0420665713702264</v>
      </c>
      <c r="R8" s="72">
        <v>4371</v>
      </c>
      <c r="S8" s="72">
        <v>269</v>
      </c>
      <c r="T8" s="20">
        <v>6.1541981239990848</v>
      </c>
      <c r="U8" s="36">
        <v>333</v>
      </c>
      <c r="V8" s="29">
        <v>6.8000816826628547</v>
      </c>
      <c r="W8" s="36">
        <v>93</v>
      </c>
      <c r="X8" s="28">
        <v>1.899121911374311</v>
      </c>
    </row>
    <row r="9" spans="2:24" ht="15" customHeight="1" x14ac:dyDescent="0.25">
      <c r="B9" s="5" t="s">
        <v>178</v>
      </c>
      <c r="C9" s="7" t="s">
        <v>210</v>
      </c>
      <c r="D9" s="7" t="s">
        <v>211</v>
      </c>
      <c r="E9" s="44">
        <v>10402</v>
      </c>
      <c r="F9" s="17">
        <v>2217</v>
      </c>
      <c r="G9" s="25">
        <v>804</v>
      </c>
      <c r="H9" s="21">
        <v>36.265223274695536</v>
      </c>
      <c r="I9" s="37">
        <v>1413</v>
      </c>
      <c r="J9" s="25">
        <v>784</v>
      </c>
      <c r="K9" s="21">
        <v>55.484784147204522</v>
      </c>
      <c r="L9" s="17">
        <v>2217</v>
      </c>
      <c r="M9" s="25">
        <v>152</v>
      </c>
      <c r="N9" s="30">
        <v>6.8561118628777633</v>
      </c>
      <c r="O9" s="17">
        <v>2217</v>
      </c>
      <c r="P9" s="25">
        <v>36</v>
      </c>
      <c r="Q9" s="31">
        <v>1.6238159675236805</v>
      </c>
      <c r="R9" s="25">
        <v>1927</v>
      </c>
      <c r="S9" s="25">
        <v>114</v>
      </c>
      <c r="T9" s="21">
        <v>5.9159314997405295</v>
      </c>
      <c r="U9" s="37">
        <v>189</v>
      </c>
      <c r="V9" s="31">
        <v>8.5250338294993231</v>
      </c>
      <c r="W9" s="37">
        <v>65</v>
      </c>
      <c r="X9" s="30">
        <v>2.931889941362201</v>
      </c>
    </row>
    <row r="10" spans="2:24" ht="15" customHeight="1" x14ac:dyDescent="0.25">
      <c r="B10" s="5" t="s">
        <v>178</v>
      </c>
      <c r="C10" s="7" t="s">
        <v>210</v>
      </c>
      <c r="D10" s="7" t="s">
        <v>212</v>
      </c>
      <c r="E10" s="44">
        <v>10403</v>
      </c>
      <c r="F10" s="17">
        <v>2839</v>
      </c>
      <c r="G10" s="25">
        <v>933</v>
      </c>
      <c r="H10" s="21">
        <v>32.863684395914056</v>
      </c>
      <c r="I10" s="37">
        <v>1906</v>
      </c>
      <c r="J10" s="25">
        <v>970</v>
      </c>
      <c r="K10" s="21">
        <v>50.891920251836311</v>
      </c>
      <c r="L10" s="17">
        <v>2839</v>
      </c>
      <c r="M10" s="25">
        <v>321</v>
      </c>
      <c r="N10" s="30">
        <v>11.306798168369143</v>
      </c>
      <c r="O10" s="17">
        <v>2839</v>
      </c>
      <c r="P10" s="25">
        <v>111</v>
      </c>
      <c r="Q10" s="31">
        <v>3.9098274040154988</v>
      </c>
      <c r="R10" s="25">
        <v>2559</v>
      </c>
      <c r="S10" s="25">
        <v>260</v>
      </c>
      <c r="T10" s="21">
        <v>10.160218835482612</v>
      </c>
      <c r="U10" s="37">
        <v>133</v>
      </c>
      <c r="V10" s="31">
        <v>4.6847481507573088</v>
      </c>
      <c r="W10" s="37">
        <v>36</v>
      </c>
      <c r="X10" s="30">
        <v>1.2680521310320536</v>
      </c>
    </row>
    <row r="11" spans="2:24" ht="15" customHeight="1" x14ac:dyDescent="0.25">
      <c r="B11" s="5" t="s">
        <v>183</v>
      </c>
      <c r="C11" s="7" t="s">
        <v>213</v>
      </c>
      <c r="D11" s="7" t="s">
        <v>214</v>
      </c>
      <c r="E11" s="44">
        <v>60903</v>
      </c>
      <c r="F11" s="17">
        <v>965</v>
      </c>
      <c r="G11" s="25">
        <v>124</v>
      </c>
      <c r="H11" s="21">
        <v>12.849740932642487</v>
      </c>
      <c r="I11" s="37">
        <v>841</v>
      </c>
      <c r="J11" s="25">
        <v>295</v>
      </c>
      <c r="K11" s="21">
        <v>35.077288941736029</v>
      </c>
      <c r="L11" s="17">
        <v>965</v>
      </c>
      <c r="M11" s="25">
        <v>24</v>
      </c>
      <c r="N11" s="30">
        <v>2.4870466321243523</v>
      </c>
      <c r="O11" s="17">
        <v>965</v>
      </c>
      <c r="P11" s="25">
        <v>23</v>
      </c>
      <c r="Q11" s="31">
        <v>2.383419689119171</v>
      </c>
      <c r="R11" s="25">
        <v>871</v>
      </c>
      <c r="S11" s="25">
        <v>63</v>
      </c>
      <c r="T11" s="21">
        <v>7.2330654420206653</v>
      </c>
      <c r="U11" s="37">
        <v>58</v>
      </c>
      <c r="V11" s="31">
        <v>6.0103626943005182</v>
      </c>
      <c r="W11" s="37">
        <v>13</v>
      </c>
      <c r="X11" s="30">
        <v>1.3471502590673576</v>
      </c>
    </row>
    <row r="12" spans="2:24" ht="15" customHeight="1" x14ac:dyDescent="0.25">
      <c r="B12" s="5" t="s">
        <v>183</v>
      </c>
      <c r="C12" s="7" t="s">
        <v>213</v>
      </c>
      <c r="D12" s="7" t="s">
        <v>215</v>
      </c>
      <c r="E12" s="44">
        <v>60905</v>
      </c>
      <c r="F12" s="17">
        <v>500</v>
      </c>
      <c r="G12" s="25">
        <v>103</v>
      </c>
      <c r="H12" s="21">
        <v>20.599999999999998</v>
      </c>
      <c r="I12" s="37">
        <v>397</v>
      </c>
      <c r="J12" s="25">
        <v>185</v>
      </c>
      <c r="K12" s="21">
        <v>46.59949622166247</v>
      </c>
      <c r="L12" s="17">
        <v>500</v>
      </c>
      <c r="M12" s="25">
        <v>23</v>
      </c>
      <c r="N12" s="30">
        <v>4.5999999999999996</v>
      </c>
      <c r="O12" s="17">
        <v>500</v>
      </c>
      <c r="P12" s="25">
        <v>10</v>
      </c>
      <c r="Q12" s="31">
        <v>2</v>
      </c>
      <c r="R12" s="25">
        <v>460</v>
      </c>
      <c r="S12" s="25">
        <v>34</v>
      </c>
      <c r="T12" s="21">
        <v>7.3913043478260869</v>
      </c>
      <c r="U12" s="37">
        <v>17</v>
      </c>
      <c r="V12" s="31">
        <v>3.4000000000000004</v>
      </c>
      <c r="W12" s="37">
        <v>13</v>
      </c>
      <c r="X12" s="30">
        <v>2.6</v>
      </c>
    </row>
    <row r="13" spans="2:24" ht="15" customHeight="1" x14ac:dyDescent="0.25">
      <c r="B13" s="5" t="s">
        <v>183</v>
      </c>
      <c r="C13" s="7" t="s">
        <v>213</v>
      </c>
      <c r="D13" s="7" t="s">
        <v>213</v>
      </c>
      <c r="E13" s="44">
        <v>60901</v>
      </c>
      <c r="F13" s="17">
        <v>1616</v>
      </c>
      <c r="G13" s="25">
        <v>394</v>
      </c>
      <c r="H13" s="21">
        <v>24.381188118811881</v>
      </c>
      <c r="I13" s="37">
        <v>1222</v>
      </c>
      <c r="J13" s="25">
        <v>581</v>
      </c>
      <c r="K13" s="21">
        <v>47.545008183306052</v>
      </c>
      <c r="L13" s="17">
        <v>1616</v>
      </c>
      <c r="M13" s="25">
        <v>112</v>
      </c>
      <c r="N13" s="30">
        <v>6.9306930693069315</v>
      </c>
      <c r="O13" s="17">
        <v>1616</v>
      </c>
      <c r="P13" s="25">
        <v>22</v>
      </c>
      <c r="Q13" s="31">
        <v>1.3613861386138615</v>
      </c>
      <c r="R13" s="25">
        <v>1499</v>
      </c>
      <c r="S13" s="25">
        <v>113</v>
      </c>
      <c r="T13" s="21">
        <v>7.5383589059372911</v>
      </c>
      <c r="U13" s="37">
        <v>77</v>
      </c>
      <c r="V13" s="31">
        <v>4.7648514851485153</v>
      </c>
      <c r="W13" s="37">
        <v>18</v>
      </c>
      <c r="X13" s="30">
        <v>1.1138613861386137</v>
      </c>
    </row>
    <row r="14" spans="2:24" ht="15" customHeight="1" x14ac:dyDescent="0.25">
      <c r="B14" s="5" t="s">
        <v>183</v>
      </c>
      <c r="C14" s="7" t="s">
        <v>213</v>
      </c>
      <c r="D14" s="7" t="s">
        <v>216</v>
      </c>
      <c r="E14" s="44">
        <v>60906</v>
      </c>
      <c r="F14" s="17">
        <v>1038</v>
      </c>
      <c r="G14" s="25">
        <v>197</v>
      </c>
      <c r="H14" s="21">
        <v>18.978805394990367</v>
      </c>
      <c r="I14" s="37">
        <v>841</v>
      </c>
      <c r="J14" s="25">
        <v>357</v>
      </c>
      <c r="K14" s="21">
        <v>42.449464922711059</v>
      </c>
      <c r="L14" s="17">
        <v>1038</v>
      </c>
      <c r="M14" s="25">
        <v>38</v>
      </c>
      <c r="N14" s="30">
        <v>3.6608863198458574</v>
      </c>
      <c r="O14" s="17">
        <v>1038</v>
      </c>
      <c r="P14" s="25">
        <v>20</v>
      </c>
      <c r="Q14" s="31">
        <v>1.9267822736030826</v>
      </c>
      <c r="R14" s="25">
        <v>958</v>
      </c>
      <c r="S14" s="25">
        <v>68</v>
      </c>
      <c r="T14" s="21">
        <v>7.0981210855949897</v>
      </c>
      <c r="U14" s="37">
        <v>53</v>
      </c>
      <c r="V14" s="31">
        <v>5.1059730250481694</v>
      </c>
      <c r="W14" s="37">
        <v>7</v>
      </c>
      <c r="X14" s="30">
        <v>0.67437379576107903</v>
      </c>
    </row>
    <row r="15" spans="2:24" ht="15" customHeight="1" x14ac:dyDescent="0.25">
      <c r="B15" s="5" t="s">
        <v>193</v>
      </c>
      <c r="C15" s="7" t="s">
        <v>217</v>
      </c>
      <c r="D15" s="7" t="s">
        <v>218</v>
      </c>
      <c r="E15" s="44">
        <v>160706</v>
      </c>
      <c r="F15" s="17">
        <v>2173</v>
      </c>
      <c r="G15" s="25">
        <v>840</v>
      </c>
      <c r="H15" s="21">
        <v>38.656235618959961</v>
      </c>
      <c r="I15" s="37">
        <v>1333</v>
      </c>
      <c r="J15" s="25">
        <v>643</v>
      </c>
      <c r="K15" s="21">
        <v>48.23705926481621</v>
      </c>
      <c r="L15" s="17">
        <v>2173</v>
      </c>
      <c r="M15" s="25">
        <v>352</v>
      </c>
      <c r="N15" s="30">
        <v>16.198803497468937</v>
      </c>
      <c r="O15" s="17">
        <v>2173</v>
      </c>
      <c r="P15" s="25">
        <v>161</v>
      </c>
      <c r="Q15" s="31">
        <v>7.4091118269673268</v>
      </c>
      <c r="R15" s="25">
        <v>1842</v>
      </c>
      <c r="S15" s="25">
        <v>275</v>
      </c>
      <c r="T15" s="21">
        <v>14.92942453854506</v>
      </c>
      <c r="U15" s="37">
        <v>118</v>
      </c>
      <c r="V15" s="31">
        <v>5.4302807179015185</v>
      </c>
      <c r="W15" s="37">
        <v>52</v>
      </c>
      <c r="X15" s="30">
        <v>2.3930050621260928</v>
      </c>
    </row>
    <row r="16" spans="2:24" ht="15" customHeight="1" x14ac:dyDescent="0.25">
      <c r="B16" s="5" t="s">
        <v>193</v>
      </c>
      <c r="C16" s="7" t="s">
        <v>217</v>
      </c>
      <c r="D16" s="7" t="s">
        <v>219</v>
      </c>
      <c r="E16" s="44">
        <v>160704</v>
      </c>
      <c r="F16" s="17">
        <v>1477</v>
      </c>
      <c r="G16" s="25">
        <v>460</v>
      </c>
      <c r="H16" s="21">
        <v>31.144211238997972</v>
      </c>
      <c r="I16" s="37">
        <v>1017</v>
      </c>
      <c r="J16" s="25">
        <v>514</v>
      </c>
      <c r="K16" s="21">
        <v>50.540806293018683</v>
      </c>
      <c r="L16" s="17">
        <v>1477</v>
      </c>
      <c r="M16" s="25">
        <v>154</v>
      </c>
      <c r="N16" s="30">
        <v>10.42654028436019</v>
      </c>
      <c r="O16" s="17">
        <v>1477</v>
      </c>
      <c r="P16" s="25">
        <v>60</v>
      </c>
      <c r="Q16" s="31">
        <v>4.0622884224779954</v>
      </c>
      <c r="R16" s="25">
        <v>1293</v>
      </c>
      <c r="S16" s="25">
        <v>141</v>
      </c>
      <c r="T16" s="21">
        <v>10.904872389791183</v>
      </c>
      <c r="U16" s="37">
        <v>91</v>
      </c>
      <c r="V16" s="31">
        <v>6.1611374407582939</v>
      </c>
      <c r="W16" s="37">
        <v>33</v>
      </c>
      <c r="X16" s="30">
        <v>2.2342586323628977</v>
      </c>
    </row>
    <row r="17" spans="2:24" ht="15" customHeight="1" x14ac:dyDescent="0.25">
      <c r="B17" s="5" t="s">
        <v>193</v>
      </c>
      <c r="C17" s="7" t="s">
        <v>193</v>
      </c>
      <c r="D17" s="7" t="s">
        <v>220</v>
      </c>
      <c r="E17" s="44">
        <v>160303</v>
      </c>
      <c r="F17" s="17">
        <v>832</v>
      </c>
      <c r="G17" s="25">
        <v>257</v>
      </c>
      <c r="H17" s="21">
        <v>30.889423076923077</v>
      </c>
      <c r="I17" s="37">
        <v>575</v>
      </c>
      <c r="J17" s="25">
        <v>265</v>
      </c>
      <c r="K17" s="21">
        <v>46.086956521739133</v>
      </c>
      <c r="L17" s="17">
        <v>832</v>
      </c>
      <c r="M17" s="25">
        <v>78</v>
      </c>
      <c r="N17" s="30">
        <v>9.375</v>
      </c>
      <c r="O17" s="17">
        <v>832</v>
      </c>
      <c r="P17" s="25">
        <v>52</v>
      </c>
      <c r="Q17" s="31">
        <v>6.25</v>
      </c>
      <c r="R17" s="25">
        <v>706</v>
      </c>
      <c r="S17" s="25">
        <v>92</v>
      </c>
      <c r="T17" s="21">
        <v>13.031161473087819</v>
      </c>
      <c r="U17" s="37">
        <v>51</v>
      </c>
      <c r="V17" s="31">
        <v>6.1298076923076916</v>
      </c>
      <c r="W17" s="37">
        <v>23</v>
      </c>
      <c r="X17" s="30">
        <v>2.7644230769230766</v>
      </c>
    </row>
    <row r="18" spans="2:24" ht="15" customHeight="1" x14ac:dyDescent="0.25">
      <c r="B18" s="5" t="s">
        <v>193</v>
      </c>
      <c r="C18" s="7" t="s">
        <v>193</v>
      </c>
      <c r="D18" s="7" t="s">
        <v>221</v>
      </c>
      <c r="E18" s="44">
        <v>160304</v>
      </c>
      <c r="F18" s="17">
        <v>1049</v>
      </c>
      <c r="G18" s="25">
        <v>278</v>
      </c>
      <c r="H18" s="21">
        <v>26.501429933269783</v>
      </c>
      <c r="I18" s="37">
        <v>771</v>
      </c>
      <c r="J18" s="25">
        <v>366</v>
      </c>
      <c r="K18" s="21">
        <v>47.470817120622563</v>
      </c>
      <c r="L18" s="17">
        <v>1049</v>
      </c>
      <c r="M18" s="25">
        <v>70</v>
      </c>
      <c r="N18" s="30">
        <v>6.6730219256434697</v>
      </c>
      <c r="O18" s="17">
        <v>1049</v>
      </c>
      <c r="P18" s="25">
        <v>30</v>
      </c>
      <c r="Q18" s="31">
        <v>2.8598665395614873</v>
      </c>
      <c r="R18" s="25">
        <v>927</v>
      </c>
      <c r="S18" s="25">
        <v>77</v>
      </c>
      <c r="T18" s="21">
        <v>8.3063646170442293</v>
      </c>
      <c r="U18" s="37">
        <v>79</v>
      </c>
      <c r="V18" s="31">
        <v>7.5309818875119161</v>
      </c>
      <c r="W18" s="37">
        <v>13</v>
      </c>
      <c r="X18" s="30">
        <v>1.2392755004766445</v>
      </c>
    </row>
    <row r="19" spans="2:24" ht="15" customHeight="1" x14ac:dyDescent="0.25">
      <c r="B19" s="5" t="s">
        <v>193</v>
      </c>
      <c r="C19" s="7" t="s">
        <v>222</v>
      </c>
      <c r="D19" s="7" t="s">
        <v>223</v>
      </c>
      <c r="E19" s="44">
        <v>160401</v>
      </c>
      <c r="F19" s="17">
        <v>1804</v>
      </c>
      <c r="G19" s="25">
        <v>490</v>
      </c>
      <c r="H19" s="21">
        <v>27.161862527716185</v>
      </c>
      <c r="I19" s="37">
        <v>1314</v>
      </c>
      <c r="J19" s="25">
        <v>630</v>
      </c>
      <c r="K19" s="21">
        <v>47.945205479452049</v>
      </c>
      <c r="L19" s="17">
        <v>1804</v>
      </c>
      <c r="M19" s="25">
        <v>173</v>
      </c>
      <c r="N19" s="30">
        <v>9.5898004434589801</v>
      </c>
      <c r="O19" s="17">
        <v>1804</v>
      </c>
      <c r="P19" s="25">
        <v>85</v>
      </c>
      <c r="Q19" s="31">
        <v>4.7117516629711753</v>
      </c>
      <c r="R19" s="25">
        <v>1599</v>
      </c>
      <c r="S19" s="25">
        <v>185</v>
      </c>
      <c r="T19" s="21">
        <v>11.569731081926204</v>
      </c>
      <c r="U19" s="37">
        <v>90</v>
      </c>
      <c r="V19" s="31">
        <v>4.9889135254988917</v>
      </c>
      <c r="W19" s="37">
        <v>30</v>
      </c>
      <c r="X19" s="30">
        <v>1.662971175166297</v>
      </c>
    </row>
    <row r="20" spans="2:24" ht="15" customHeight="1" x14ac:dyDescent="0.25">
      <c r="B20" s="5" t="s">
        <v>193</v>
      </c>
      <c r="C20" s="7" t="s">
        <v>222</v>
      </c>
      <c r="D20" s="7" t="s">
        <v>224</v>
      </c>
      <c r="E20" s="44">
        <v>160403</v>
      </c>
      <c r="F20" s="58">
        <v>932</v>
      </c>
      <c r="G20" s="59">
        <v>176</v>
      </c>
      <c r="H20" s="60">
        <v>18.884120171673821</v>
      </c>
      <c r="I20" s="37">
        <v>756</v>
      </c>
      <c r="J20" s="59">
        <v>286</v>
      </c>
      <c r="K20" s="21">
        <v>37.830687830687829</v>
      </c>
      <c r="L20" s="58">
        <v>932</v>
      </c>
      <c r="M20" s="59">
        <v>55</v>
      </c>
      <c r="N20" s="62">
        <v>5.9012875536480687</v>
      </c>
      <c r="O20" s="58">
        <v>932</v>
      </c>
      <c r="P20" s="59">
        <v>33</v>
      </c>
      <c r="Q20" s="63">
        <v>3.5407725321888415</v>
      </c>
      <c r="R20" s="25">
        <v>835</v>
      </c>
      <c r="S20" s="59">
        <v>63</v>
      </c>
      <c r="T20" s="21">
        <v>7.5449101796407181</v>
      </c>
      <c r="U20" s="61">
        <v>48</v>
      </c>
      <c r="V20" s="63">
        <v>5.1502145922746783</v>
      </c>
      <c r="W20" s="61">
        <v>16</v>
      </c>
      <c r="X20" s="62">
        <v>1.7167381974248928</v>
      </c>
    </row>
    <row r="21" spans="2:24" ht="15" customHeight="1" x14ac:dyDescent="0.25">
      <c r="B21" s="5" t="s">
        <v>193</v>
      </c>
      <c r="C21" s="7" t="s">
        <v>225</v>
      </c>
      <c r="D21" s="7" t="s">
        <v>226</v>
      </c>
      <c r="E21" s="44">
        <v>160107</v>
      </c>
      <c r="F21" s="17">
        <v>1236</v>
      </c>
      <c r="G21" s="25">
        <v>337</v>
      </c>
      <c r="H21" s="21">
        <v>27.265372168284792</v>
      </c>
      <c r="I21" s="37">
        <v>899</v>
      </c>
      <c r="J21" s="25">
        <v>418</v>
      </c>
      <c r="K21" s="21">
        <v>46.496106785317018</v>
      </c>
      <c r="L21" s="17">
        <v>1236</v>
      </c>
      <c r="M21" s="25">
        <v>118</v>
      </c>
      <c r="N21" s="30">
        <v>9.5469255663430417</v>
      </c>
      <c r="O21" s="17">
        <v>1236</v>
      </c>
      <c r="P21" s="25">
        <v>42</v>
      </c>
      <c r="Q21" s="31">
        <v>3.3980582524271843</v>
      </c>
      <c r="R21" s="25">
        <v>1125</v>
      </c>
      <c r="S21" s="25">
        <v>102</v>
      </c>
      <c r="T21" s="21">
        <v>9.0666666666666664</v>
      </c>
      <c r="U21" s="37">
        <v>51</v>
      </c>
      <c r="V21" s="31">
        <v>4.1262135922330101</v>
      </c>
      <c r="W21" s="37">
        <v>18</v>
      </c>
      <c r="X21" s="30">
        <v>1.4563106796116505</v>
      </c>
    </row>
    <row r="22" spans="2:24" ht="15" customHeight="1" x14ac:dyDescent="0.25">
      <c r="B22" s="5" t="s">
        <v>193</v>
      </c>
      <c r="C22" s="7" t="s">
        <v>225</v>
      </c>
      <c r="D22" s="7" t="s">
        <v>227</v>
      </c>
      <c r="E22" s="44">
        <v>160110</v>
      </c>
      <c r="F22" s="17">
        <v>796</v>
      </c>
      <c r="G22" s="25">
        <v>268</v>
      </c>
      <c r="H22" s="21">
        <v>33.668341708542712</v>
      </c>
      <c r="I22" s="37">
        <v>528</v>
      </c>
      <c r="J22" s="25">
        <v>301</v>
      </c>
      <c r="K22" s="21">
        <v>57.007575757575758</v>
      </c>
      <c r="L22" s="17">
        <v>796</v>
      </c>
      <c r="M22" s="25">
        <v>70</v>
      </c>
      <c r="N22" s="30">
        <v>8.7939698492462313</v>
      </c>
      <c r="O22" s="17">
        <v>796</v>
      </c>
      <c r="P22" s="25">
        <v>11</v>
      </c>
      <c r="Q22" s="31">
        <v>1.3819095477386936</v>
      </c>
      <c r="R22" s="25">
        <v>746</v>
      </c>
      <c r="S22" s="25">
        <v>46</v>
      </c>
      <c r="T22" s="21">
        <v>6.1662198391420908</v>
      </c>
      <c r="U22" s="37">
        <v>31</v>
      </c>
      <c r="V22" s="31">
        <v>3.8944723618090453</v>
      </c>
      <c r="W22" s="37">
        <v>8</v>
      </c>
      <c r="X22" s="30">
        <v>1.0050251256281406</v>
      </c>
    </row>
    <row r="23" spans="2:24" ht="15" customHeight="1" x14ac:dyDescent="0.25">
      <c r="B23" s="5" t="s">
        <v>193</v>
      </c>
      <c r="C23" s="7" t="s">
        <v>228</v>
      </c>
      <c r="D23" s="7" t="s">
        <v>228</v>
      </c>
      <c r="E23" s="44">
        <v>160801</v>
      </c>
      <c r="F23" s="17">
        <v>260</v>
      </c>
      <c r="G23" s="25">
        <v>54</v>
      </c>
      <c r="H23" s="21">
        <v>20.76923076923077</v>
      </c>
      <c r="I23" s="37">
        <v>206</v>
      </c>
      <c r="J23" s="25">
        <v>84</v>
      </c>
      <c r="K23" s="21">
        <v>40.776699029126213</v>
      </c>
      <c r="L23" s="17">
        <v>260</v>
      </c>
      <c r="M23" s="25">
        <v>17</v>
      </c>
      <c r="N23" s="30">
        <v>6.5384615384615392</v>
      </c>
      <c r="O23" s="17">
        <v>260</v>
      </c>
      <c r="P23" s="25">
        <v>3</v>
      </c>
      <c r="Q23" s="31">
        <v>1.153846153846154</v>
      </c>
      <c r="R23" s="25">
        <v>239</v>
      </c>
      <c r="S23" s="25">
        <v>18</v>
      </c>
      <c r="T23" s="21">
        <v>7.5313807531380759</v>
      </c>
      <c r="U23" s="37">
        <v>17</v>
      </c>
      <c r="V23" s="31">
        <v>6.5384615384615392</v>
      </c>
      <c r="W23" s="37">
        <v>1</v>
      </c>
      <c r="X23" s="30">
        <v>0.38461538461538464</v>
      </c>
    </row>
    <row r="24" spans="2:24" ht="15" customHeight="1" x14ac:dyDescent="0.25">
      <c r="B24" s="5" t="s">
        <v>193</v>
      </c>
      <c r="C24" s="7" t="s">
        <v>228</v>
      </c>
      <c r="D24" s="7" t="s">
        <v>229</v>
      </c>
      <c r="E24" s="44">
        <v>160802</v>
      </c>
      <c r="F24" s="17">
        <v>46</v>
      </c>
      <c r="G24" s="25">
        <v>8</v>
      </c>
      <c r="H24" s="21">
        <v>17.391304347826086</v>
      </c>
      <c r="I24" s="37">
        <v>38</v>
      </c>
      <c r="J24" s="25">
        <v>13</v>
      </c>
      <c r="K24" s="21">
        <v>34.210526315789473</v>
      </c>
      <c r="L24" s="17">
        <v>46</v>
      </c>
      <c r="M24" s="25">
        <v>1</v>
      </c>
      <c r="N24" s="30">
        <v>2.1739130434782608</v>
      </c>
      <c r="O24" s="17">
        <v>46</v>
      </c>
      <c r="P24" s="25">
        <v>1</v>
      </c>
      <c r="Q24" s="31">
        <v>2.1739130434782608</v>
      </c>
      <c r="R24" s="25">
        <v>43</v>
      </c>
      <c r="S24" s="25">
        <v>5</v>
      </c>
      <c r="T24" s="21">
        <v>11.627906976744185</v>
      </c>
      <c r="U24" s="37">
        <v>2</v>
      </c>
      <c r="V24" s="31">
        <v>4.3478260869565215</v>
      </c>
      <c r="W24" s="37">
        <v>0</v>
      </c>
      <c r="X24" s="30">
        <v>0</v>
      </c>
    </row>
    <row r="25" spans="2:24" ht="15" customHeight="1" x14ac:dyDescent="0.25">
      <c r="B25" s="5" t="s">
        <v>193</v>
      </c>
      <c r="C25" s="7" t="s">
        <v>228</v>
      </c>
      <c r="D25" s="7" t="s">
        <v>230</v>
      </c>
      <c r="E25" s="44">
        <v>160803</v>
      </c>
      <c r="F25" s="17">
        <v>284</v>
      </c>
      <c r="G25" s="25">
        <v>81</v>
      </c>
      <c r="H25" s="21">
        <v>28.52112676056338</v>
      </c>
      <c r="I25" s="37">
        <v>203</v>
      </c>
      <c r="J25" s="25">
        <v>87</v>
      </c>
      <c r="K25" s="21">
        <v>42.857142857142854</v>
      </c>
      <c r="L25" s="17">
        <v>284</v>
      </c>
      <c r="M25" s="25">
        <v>39</v>
      </c>
      <c r="N25" s="30">
        <v>13.732394366197184</v>
      </c>
      <c r="O25" s="17">
        <v>284</v>
      </c>
      <c r="P25" s="25">
        <v>20</v>
      </c>
      <c r="Q25" s="31">
        <v>7.042253521126761</v>
      </c>
      <c r="R25" s="25">
        <v>243</v>
      </c>
      <c r="S25" s="25">
        <v>35</v>
      </c>
      <c r="T25" s="21">
        <v>14.403292181069959</v>
      </c>
      <c r="U25" s="37">
        <v>21</v>
      </c>
      <c r="V25" s="31">
        <v>7.3943661971830981</v>
      </c>
      <c r="W25" s="37">
        <v>0</v>
      </c>
      <c r="X25" s="30">
        <v>0</v>
      </c>
    </row>
    <row r="26" spans="2:24" ht="15" customHeight="1" x14ac:dyDescent="0.25">
      <c r="B26" s="5" t="s">
        <v>193</v>
      </c>
      <c r="C26" s="7" t="s">
        <v>228</v>
      </c>
      <c r="D26" s="7" t="s">
        <v>231</v>
      </c>
      <c r="E26" s="44">
        <v>160804</v>
      </c>
      <c r="F26" s="58">
        <v>184</v>
      </c>
      <c r="G26" s="59">
        <v>41</v>
      </c>
      <c r="H26" s="60">
        <v>22.282608695652172</v>
      </c>
      <c r="I26" s="37">
        <v>143</v>
      </c>
      <c r="J26" s="59">
        <v>55</v>
      </c>
      <c r="K26" s="21">
        <v>38.461538461538467</v>
      </c>
      <c r="L26" s="58">
        <v>184</v>
      </c>
      <c r="M26" s="59">
        <v>13</v>
      </c>
      <c r="N26" s="62">
        <v>7.0652173913043477</v>
      </c>
      <c r="O26" s="58">
        <v>184</v>
      </c>
      <c r="P26" s="59">
        <v>7</v>
      </c>
      <c r="Q26" s="63">
        <v>3.804347826086957</v>
      </c>
      <c r="R26" s="25">
        <v>168</v>
      </c>
      <c r="S26" s="59">
        <v>18</v>
      </c>
      <c r="T26" s="21">
        <v>10.714285714285714</v>
      </c>
      <c r="U26" s="61">
        <v>6</v>
      </c>
      <c r="V26" s="63">
        <v>3.2608695652173911</v>
      </c>
      <c r="W26" s="61">
        <v>3</v>
      </c>
      <c r="X26" s="62">
        <v>1.6304347826086956</v>
      </c>
    </row>
    <row r="27" spans="2:24" ht="15" customHeight="1" x14ac:dyDescent="0.25">
      <c r="B27" s="5" t="s">
        <v>193</v>
      </c>
      <c r="C27" s="7" t="s">
        <v>232</v>
      </c>
      <c r="D27" s="7" t="s">
        <v>233</v>
      </c>
      <c r="E27" s="44">
        <v>160502</v>
      </c>
      <c r="F27" s="58">
        <v>35</v>
      </c>
      <c r="G27" s="59">
        <v>19</v>
      </c>
      <c r="H27" s="60">
        <v>54.285714285714285</v>
      </c>
      <c r="I27" s="37">
        <v>16</v>
      </c>
      <c r="J27" s="59">
        <v>7</v>
      </c>
      <c r="K27" s="21">
        <v>43.75</v>
      </c>
      <c r="L27" s="58">
        <v>35</v>
      </c>
      <c r="M27" s="59">
        <v>3</v>
      </c>
      <c r="N27" s="62">
        <v>8.5714285714285712</v>
      </c>
      <c r="O27" s="58">
        <v>35</v>
      </c>
      <c r="P27" s="59">
        <v>2</v>
      </c>
      <c r="Q27" s="63">
        <v>5.7142857142857144</v>
      </c>
      <c r="R27" s="25">
        <v>29</v>
      </c>
      <c r="S27" s="59">
        <v>2</v>
      </c>
      <c r="T27" s="21">
        <v>6.8965517241379306</v>
      </c>
      <c r="U27" s="61">
        <v>4</v>
      </c>
      <c r="V27" s="63">
        <v>11.428571428571429</v>
      </c>
      <c r="W27" s="61">
        <v>0</v>
      </c>
      <c r="X27" s="62">
        <v>0</v>
      </c>
    </row>
    <row r="28" spans="2:24" ht="15" customHeight="1" x14ac:dyDescent="0.25">
      <c r="B28" s="5" t="s">
        <v>193</v>
      </c>
      <c r="C28" s="7" t="s">
        <v>232</v>
      </c>
      <c r="D28" s="7" t="s">
        <v>234</v>
      </c>
      <c r="E28" s="44">
        <v>160511</v>
      </c>
      <c r="F28" s="17">
        <v>260</v>
      </c>
      <c r="G28" s="25">
        <v>74</v>
      </c>
      <c r="H28" s="21">
        <v>28.46153846153846</v>
      </c>
      <c r="I28" s="37">
        <v>186</v>
      </c>
      <c r="J28" s="25">
        <v>70</v>
      </c>
      <c r="K28" s="21">
        <v>37.634408602150536</v>
      </c>
      <c r="L28" s="17">
        <v>260</v>
      </c>
      <c r="M28" s="25">
        <v>15</v>
      </c>
      <c r="N28" s="30">
        <v>5.7692307692307692</v>
      </c>
      <c r="O28" s="17">
        <v>260</v>
      </c>
      <c r="P28" s="25">
        <v>7</v>
      </c>
      <c r="Q28" s="31">
        <v>2.6923076923076925</v>
      </c>
      <c r="R28" s="25">
        <v>231</v>
      </c>
      <c r="S28" s="25">
        <v>23</v>
      </c>
      <c r="T28" s="21">
        <v>9.9567099567099575</v>
      </c>
      <c r="U28" s="37">
        <v>17</v>
      </c>
      <c r="V28" s="31">
        <v>6.5384615384615392</v>
      </c>
      <c r="W28" s="37">
        <v>5</v>
      </c>
      <c r="X28" s="30">
        <v>1.9230769230769231</v>
      </c>
    </row>
    <row r="29" spans="2:24" ht="15" customHeight="1" x14ac:dyDescent="0.25">
      <c r="B29" s="5" t="s">
        <v>194</v>
      </c>
      <c r="C29" s="7" t="s">
        <v>235</v>
      </c>
      <c r="D29" s="7" t="s">
        <v>236</v>
      </c>
      <c r="E29" s="44">
        <v>170302</v>
      </c>
      <c r="F29" s="17">
        <v>291</v>
      </c>
      <c r="G29" s="25">
        <v>40</v>
      </c>
      <c r="H29" s="21">
        <v>13.745704467353953</v>
      </c>
      <c r="I29" s="37">
        <v>251</v>
      </c>
      <c r="J29" s="25">
        <v>81</v>
      </c>
      <c r="K29" s="21">
        <v>32.270916334661351</v>
      </c>
      <c r="L29" s="17">
        <v>291</v>
      </c>
      <c r="M29" s="25">
        <v>9</v>
      </c>
      <c r="N29" s="30">
        <v>3.0927835051546393</v>
      </c>
      <c r="O29" s="17">
        <v>291</v>
      </c>
      <c r="P29" s="25">
        <v>3</v>
      </c>
      <c r="Q29" s="31">
        <v>1.0309278350515463</v>
      </c>
      <c r="R29" s="25">
        <v>269</v>
      </c>
      <c r="S29" s="25">
        <v>21</v>
      </c>
      <c r="T29" s="21">
        <v>7.8066914498141262</v>
      </c>
      <c r="U29" s="37">
        <v>14</v>
      </c>
      <c r="V29" s="31">
        <v>4.8109965635738838</v>
      </c>
      <c r="W29" s="37">
        <v>5</v>
      </c>
      <c r="X29" s="30">
        <v>1.7182130584192441</v>
      </c>
    </row>
    <row r="30" spans="2:24" ht="15" customHeight="1" x14ac:dyDescent="0.25">
      <c r="B30" s="5" t="s">
        <v>194</v>
      </c>
      <c r="C30" s="7" t="s">
        <v>235</v>
      </c>
      <c r="D30" s="7" t="s">
        <v>237</v>
      </c>
      <c r="E30" s="44">
        <v>170301</v>
      </c>
      <c r="F30" s="58">
        <v>101</v>
      </c>
      <c r="G30" s="59">
        <v>10</v>
      </c>
      <c r="H30" s="60">
        <v>9.9009900990099009</v>
      </c>
      <c r="I30" s="37">
        <v>91</v>
      </c>
      <c r="J30" s="59">
        <v>25</v>
      </c>
      <c r="K30" s="21">
        <v>27.472527472527474</v>
      </c>
      <c r="L30" s="58">
        <v>101</v>
      </c>
      <c r="M30" s="59">
        <v>3</v>
      </c>
      <c r="N30" s="62">
        <v>2.9702970297029703</v>
      </c>
      <c r="O30" s="58">
        <v>101</v>
      </c>
      <c r="P30" s="59">
        <v>1</v>
      </c>
      <c r="Q30" s="63">
        <v>0.99009900990099009</v>
      </c>
      <c r="R30" s="25">
        <v>90</v>
      </c>
      <c r="S30" s="59">
        <v>2</v>
      </c>
      <c r="T30" s="21">
        <v>2.2222222222222223</v>
      </c>
      <c r="U30" s="61">
        <v>7</v>
      </c>
      <c r="V30" s="63">
        <v>6.9306930693069315</v>
      </c>
      <c r="W30" s="61">
        <v>3</v>
      </c>
      <c r="X30" s="62">
        <v>2.9702970297029703</v>
      </c>
    </row>
    <row r="31" spans="2:24" ht="15" customHeight="1" x14ac:dyDescent="0.25">
      <c r="B31" s="5" t="s">
        <v>194</v>
      </c>
      <c r="C31" s="7" t="s">
        <v>235</v>
      </c>
      <c r="D31" s="7" t="s">
        <v>235</v>
      </c>
      <c r="E31" s="44">
        <v>170303</v>
      </c>
      <c r="F31" s="58">
        <v>270</v>
      </c>
      <c r="G31" s="59">
        <v>45</v>
      </c>
      <c r="H31" s="60">
        <v>16.666666666666664</v>
      </c>
      <c r="I31" s="61">
        <v>225</v>
      </c>
      <c r="J31" s="59">
        <v>85</v>
      </c>
      <c r="K31" s="60">
        <v>37.777777777777779</v>
      </c>
      <c r="L31" s="58">
        <v>270</v>
      </c>
      <c r="M31" s="59">
        <v>20</v>
      </c>
      <c r="N31" s="62">
        <v>7.4074074074074066</v>
      </c>
      <c r="O31" s="58">
        <v>270</v>
      </c>
      <c r="P31" s="59">
        <v>9</v>
      </c>
      <c r="Q31" s="63">
        <v>3.3333333333333335</v>
      </c>
      <c r="R31" s="25">
        <v>246</v>
      </c>
      <c r="S31" s="59">
        <v>35</v>
      </c>
      <c r="T31" s="21">
        <v>14.227642276422763</v>
      </c>
      <c r="U31" s="61">
        <v>12</v>
      </c>
      <c r="V31" s="63">
        <v>4.4444444444444446</v>
      </c>
      <c r="W31" s="61">
        <v>3</v>
      </c>
      <c r="X31" s="62">
        <v>1.1111111111111112</v>
      </c>
    </row>
    <row r="32" spans="2:24" ht="15" customHeight="1" x14ac:dyDescent="0.25">
      <c r="B32" s="5" t="s">
        <v>194</v>
      </c>
      <c r="C32" s="7" t="s">
        <v>238</v>
      </c>
      <c r="D32" s="7" t="s">
        <v>239</v>
      </c>
      <c r="E32" s="44">
        <v>170103</v>
      </c>
      <c r="F32" s="17">
        <v>1053</v>
      </c>
      <c r="G32" s="25">
        <v>133</v>
      </c>
      <c r="H32" s="21">
        <v>12.630579297245964</v>
      </c>
      <c r="I32" s="37">
        <v>920</v>
      </c>
      <c r="J32" s="25">
        <v>282</v>
      </c>
      <c r="K32" s="21">
        <v>30.65217391304348</v>
      </c>
      <c r="L32" s="17">
        <v>1053</v>
      </c>
      <c r="M32" s="25">
        <v>37</v>
      </c>
      <c r="N32" s="30">
        <v>3.5137701804368469</v>
      </c>
      <c r="O32" s="17">
        <v>1053</v>
      </c>
      <c r="P32" s="25">
        <v>22</v>
      </c>
      <c r="Q32" s="31">
        <v>2.0892687559354228</v>
      </c>
      <c r="R32" s="25">
        <v>950</v>
      </c>
      <c r="S32" s="25">
        <v>97</v>
      </c>
      <c r="T32" s="21">
        <v>10.210526315789474</v>
      </c>
      <c r="U32" s="37">
        <v>64</v>
      </c>
      <c r="V32" s="31">
        <v>6.0778727445394116</v>
      </c>
      <c r="W32" s="37">
        <v>17</v>
      </c>
      <c r="X32" s="30">
        <v>1.6144349477682813</v>
      </c>
    </row>
    <row r="33" spans="2:24" ht="15" customHeight="1" x14ac:dyDescent="0.25">
      <c r="B33" s="5" t="s">
        <v>194</v>
      </c>
      <c r="C33" s="7" t="s">
        <v>238</v>
      </c>
      <c r="D33" s="7" t="s">
        <v>238</v>
      </c>
      <c r="E33" s="44">
        <v>170101</v>
      </c>
      <c r="F33" s="17">
        <v>4383</v>
      </c>
      <c r="G33" s="25">
        <v>355</v>
      </c>
      <c r="H33" s="21">
        <v>8.0994752452658005</v>
      </c>
      <c r="I33" s="37">
        <v>4028</v>
      </c>
      <c r="J33" s="25">
        <v>1013</v>
      </c>
      <c r="K33" s="21">
        <v>25.148957298907646</v>
      </c>
      <c r="L33" s="17">
        <v>4383</v>
      </c>
      <c r="M33" s="25">
        <v>145</v>
      </c>
      <c r="N33" s="30">
        <v>3.3082363677846227</v>
      </c>
      <c r="O33" s="17">
        <v>4383</v>
      </c>
      <c r="P33" s="25">
        <v>86</v>
      </c>
      <c r="Q33" s="31">
        <v>1.9621263974446725</v>
      </c>
      <c r="R33" s="25">
        <v>4025</v>
      </c>
      <c r="S33" s="25">
        <v>392</v>
      </c>
      <c r="T33" s="21">
        <v>9.7391304347826093</v>
      </c>
      <c r="U33" s="37">
        <v>215</v>
      </c>
      <c r="V33" s="31">
        <v>4.9053159936116817</v>
      </c>
      <c r="W33" s="37">
        <v>57</v>
      </c>
      <c r="X33" s="30">
        <v>1.3004791238877482</v>
      </c>
    </row>
    <row r="34" spans="2:24" ht="15" customHeight="1" x14ac:dyDescent="0.25">
      <c r="B34" s="5" t="s">
        <v>197</v>
      </c>
      <c r="C34" s="7" t="s">
        <v>240</v>
      </c>
      <c r="D34" s="7" t="s">
        <v>240</v>
      </c>
      <c r="E34" s="44">
        <v>200201</v>
      </c>
      <c r="F34" s="17">
        <v>1596</v>
      </c>
      <c r="G34" s="25">
        <v>438</v>
      </c>
      <c r="H34" s="21">
        <v>27.443609022556391</v>
      </c>
      <c r="I34" s="37">
        <v>1158</v>
      </c>
      <c r="J34" s="25">
        <v>545</v>
      </c>
      <c r="K34" s="21">
        <v>47.063903281519863</v>
      </c>
      <c r="L34" s="17">
        <v>1596</v>
      </c>
      <c r="M34" s="25">
        <v>128</v>
      </c>
      <c r="N34" s="30">
        <v>8.0200501253132828</v>
      </c>
      <c r="O34" s="17">
        <v>1596</v>
      </c>
      <c r="P34" s="25">
        <v>44</v>
      </c>
      <c r="Q34" s="31">
        <v>2.7568922305764412</v>
      </c>
      <c r="R34" s="25">
        <v>1486</v>
      </c>
      <c r="S34" s="25">
        <v>158</v>
      </c>
      <c r="T34" s="21">
        <v>10.632570659488561</v>
      </c>
      <c r="U34" s="37">
        <v>53</v>
      </c>
      <c r="V34" s="31">
        <v>3.3208020050125313</v>
      </c>
      <c r="W34" s="37">
        <v>13</v>
      </c>
      <c r="X34" s="30">
        <v>0.81453634085213023</v>
      </c>
    </row>
    <row r="35" spans="2:24" ht="15" customHeight="1" x14ac:dyDescent="0.25">
      <c r="B35" s="5" t="s">
        <v>197</v>
      </c>
      <c r="C35" s="7" t="s">
        <v>240</v>
      </c>
      <c r="D35" s="7" t="s">
        <v>241</v>
      </c>
      <c r="E35" s="44">
        <v>200203</v>
      </c>
      <c r="F35" s="17">
        <v>125</v>
      </c>
      <c r="G35" s="25">
        <v>22</v>
      </c>
      <c r="H35" s="21">
        <v>17.599999999999998</v>
      </c>
      <c r="I35" s="37">
        <v>103</v>
      </c>
      <c r="J35" s="25">
        <v>37</v>
      </c>
      <c r="K35" s="21">
        <v>35.922330097087382</v>
      </c>
      <c r="L35" s="17">
        <v>125</v>
      </c>
      <c r="M35" s="25">
        <v>7</v>
      </c>
      <c r="N35" s="30">
        <v>5.6000000000000005</v>
      </c>
      <c r="O35" s="17">
        <v>125</v>
      </c>
      <c r="P35" s="25">
        <v>4</v>
      </c>
      <c r="Q35" s="31">
        <v>3.2</v>
      </c>
      <c r="R35" s="25">
        <v>108</v>
      </c>
      <c r="S35" s="25">
        <v>14</v>
      </c>
      <c r="T35" s="21">
        <v>12.962962962962962</v>
      </c>
      <c r="U35" s="37">
        <v>11</v>
      </c>
      <c r="V35" s="31">
        <v>8.7999999999999989</v>
      </c>
      <c r="W35" s="37">
        <v>2</v>
      </c>
      <c r="X35" s="30">
        <v>1.6</v>
      </c>
    </row>
    <row r="36" spans="2:24" ht="15" customHeight="1" x14ac:dyDescent="0.25">
      <c r="B36" s="5" t="s">
        <v>197</v>
      </c>
      <c r="C36" s="7" t="s">
        <v>240</v>
      </c>
      <c r="D36" s="7" t="s">
        <v>242</v>
      </c>
      <c r="E36" s="44">
        <v>200210</v>
      </c>
      <c r="F36" s="58">
        <v>705</v>
      </c>
      <c r="G36" s="59">
        <v>70</v>
      </c>
      <c r="H36" s="60">
        <v>9.9290780141843982</v>
      </c>
      <c r="I36" s="37">
        <v>635</v>
      </c>
      <c r="J36" s="59">
        <v>202</v>
      </c>
      <c r="K36" s="21">
        <v>31.811023622047248</v>
      </c>
      <c r="L36" s="58">
        <v>705</v>
      </c>
      <c r="M36" s="59">
        <v>31</v>
      </c>
      <c r="N36" s="62">
        <v>4.3971631205673756</v>
      </c>
      <c r="O36" s="58">
        <v>705</v>
      </c>
      <c r="P36" s="59">
        <v>19</v>
      </c>
      <c r="Q36" s="63">
        <v>2.6950354609929077</v>
      </c>
      <c r="R36" s="25">
        <v>621</v>
      </c>
      <c r="S36" s="59">
        <v>59</v>
      </c>
      <c r="T36" s="21">
        <v>9.5008051529790674</v>
      </c>
      <c r="U36" s="61">
        <v>48</v>
      </c>
      <c r="V36" s="63">
        <v>6.8085106382978724</v>
      </c>
      <c r="W36" s="61">
        <v>17</v>
      </c>
      <c r="X36" s="62">
        <v>2.4113475177304964</v>
      </c>
    </row>
    <row r="37" spans="2:24" ht="15" customHeight="1" x14ac:dyDescent="0.25">
      <c r="B37" s="5" t="s">
        <v>197</v>
      </c>
      <c r="C37" s="7" t="s">
        <v>243</v>
      </c>
      <c r="D37" s="7" t="s">
        <v>244</v>
      </c>
      <c r="E37" s="44">
        <v>200303</v>
      </c>
      <c r="F37" s="17">
        <v>542</v>
      </c>
      <c r="G37" s="25">
        <v>196</v>
      </c>
      <c r="H37" s="21">
        <v>36.162361623616235</v>
      </c>
      <c r="I37" s="37">
        <v>346</v>
      </c>
      <c r="J37" s="25">
        <v>180</v>
      </c>
      <c r="K37" s="21">
        <v>52.023121387283233</v>
      </c>
      <c r="L37" s="17">
        <v>542</v>
      </c>
      <c r="M37" s="25">
        <v>36</v>
      </c>
      <c r="N37" s="30">
        <v>6.6420664206642073</v>
      </c>
      <c r="O37" s="17">
        <v>542</v>
      </c>
      <c r="P37" s="25">
        <v>9</v>
      </c>
      <c r="Q37" s="31">
        <v>1.6605166051660518</v>
      </c>
      <c r="R37" s="25">
        <v>485</v>
      </c>
      <c r="S37" s="25">
        <v>38</v>
      </c>
      <c r="T37" s="21">
        <v>7.8350515463917523</v>
      </c>
      <c r="U37" s="37">
        <v>38</v>
      </c>
      <c r="V37" s="31">
        <v>7.0110701107011062</v>
      </c>
      <c r="W37" s="37">
        <v>10</v>
      </c>
      <c r="X37" s="30">
        <v>1.8450184501845017</v>
      </c>
    </row>
    <row r="38" spans="2:24" ht="15" customHeight="1" x14ac:dyDescent="0.25">
      <c r="B38" s="5" t="s">
        <v>197</v>
      </c>
      <c r="C38" s="7" t="s">
        <v>245</v>
      </c>
      <c r="D38" s="7" t="s">
        <v>246</v>
      </c>
      <c r="E38" s="44">
        <v>200604</v>
      </c>
      <c r="F38" s="17">
        <v>596</v>
      </c>
      <c r="G38" s="25">
        <v>29</v>
      </c>
      <c r="H38" s="21">
        <v>4.8657718120805367</v>
      </c>
      <c r="I38" s="37">
        <v>567</v>
      </c>
      <c r="J38" s="25">
        <v>147</v>
      </c>
      <c r="K38" s="21">
        <v>25.925925925925924</v>
      </c>
      <c r="L38" s="17">
        <v>596</v>
      </c>
      <c r="M38" s="25">
        <v>15</v>
      </c>
      <c r="N38" s="30">
        <v>2.5167785234899327</v>
      </c>
      <c r="O38" s="17">
        <v>596</v>
      </c>
      <c r="P38" s="25">
        <v>13</v>
      </c>
      <c r="Q38" s="31">
        <v>2.1812080536912752</v>
      </c>
      <c r="R38" s="25">
        <v>524</v>
      </c>
      <c r="S38" s="25">
        <v>46</v>
      </c>
      <c r="T38" s="21">
        <v>8.778625954198473</v>
      </c>
      <c r="U38" s="37">
        <v>44</v>
      </c>
      <c r="V38" s="31">
        <v>7.3825503355704702</v>
      </c>
      <c r="W38" s="37">
        <v>15</v>
      </c>
      <c r="X38" s="30">
        <v>2.5167785234899327</v>
      </c>
    </row>
    <row r="39" spans="2:24" ht="15" customHeight="1" x14ac:dyDescent="0.25">
      <c r="B39" s="5" t="s">
        <v>198</v>
      </c>
      <c r="C39" s="7" t="s">
        <v>247</v>
      </c>
      <c r="D39" s="7" t="s">
        <v>248</v>
      </c>
      <c r="E39" s="44">
        <v>210402</v>
      </c>
      <c r="F39" s="17">
        <v>403</v>
      </c>
      <c r="G39" s="25">
        <v>42</v>
      </c>
      <c r="H39" s="21">
        <v>10.421836228287841</v>
      </c>
      <c r="I39" s="37">
        <v>361</v>
      </c>
      <c r="J39" s="25">
        <v>127</v>
      </c>
      <c r="K39" s="21">
        <v>35.180055401662052</v>
      </c>
      <c r="L39" s="17">
        <v>403</v>
      </c>
      <c r="M39" s="25">
        <v>10</v>
      </c>
      <c r="N39" s="30">
        <v>2.481389578163772</v>
      </c>
      <c r="O39" s="17">
        <v>403</v>
      </c>
      <c r="P39" s="25">
        <v>2</v>
      </c>
      <c r="Q39" s="31">
        <v>0.49627791563275436</v>
      </c>
      <c r="R39" s="25">
        <v>380</v>
      </c>
      <c r="S39" s="25">
        <v>24</v>
      </c>
      <c r="T39" s="21">
        <v>6.3157894736842106</v>
      </c>
      <c r="U39" s="37">
        <v>19</v>
      </c>
      <c r="V39" s="31">
        <v>4.7146401985111659</v>
      </c>
      <c r="W39" s="37">
        <v>2</v>
      </c>
      <c r="X39" s="30">
        <v>0.49627791563275436</v>
      </c>
    </row>
    <row r="40" spans="2:24" ht="15" customHeight="1" x14ac:dyDescent="0.25">
      <c r="B40" s="5" t="s">
        <v>198</v>
      </c>
      <c r="C40" s="7" t="s">
        <v>247</v>
      </c>
      <c r="D40" s="7" t="s">
        <v>249</v>
      </c>
      <c r="E40" s="44">
        <v>210401</v>
      </c>
      <c r="F40" s="17">
        <v>562</v>
      </c>
      <c r="G40" s="25">
        <v>56</v>
      </c>
      <c r="H40" s="21">
        <v>9.9644128113879002</v>
      </c>
      <c r="I40" s="37">
        <v>506</v>
      </c>
      <c r="J40" s="25">
        <v>166</v>
      </c>
      <c r="K40" s="21">
        <v>32.806324110671937</v>
      </c>
      <c r="L40" s="17">
        <v>562</v>
      </c>
      <c r="M40" s="25">
        <v>10</v>
      </c>
      <c r="N40" s="30">
        <v>1.7793594306049825</v>
      </c>
      <c r="O40" s="17">
        <v>562</v>
      </c>
      <c r="P40" s="25">
        <v>5</v>
      </c>
      <c r="Q40" s="31">
        <v>0.88967971530249124</v>
      </c>
      <c r="R40" s="25">
        <v>517</v>
      </c>
      <c r="S40" s="25">
        <v>23</v>
      </c>
      <c r="T40" s="21">
        <v>4.4487427466150873</v>
      </c>
      <c r="U40" s="37">
        <v>36</v>
      </c>
      <c r="V40" s="31">
        <v>6.4056939501779357</v>
      </c>
      <c r="W40" s="37">
        <v>4</v>
      </c>
      <c r="X40" s="30">
        <v>0.71174377224199281</v>
      </c>
    </row>
    <row r="41" spans="2:24" ht="15" customHeight="1" x14ac:dyDescent="0.25">
      <c r="B41" s="5" t="s">
        <v>198</v>
      </c>
      <c r="C41" s="7" t="s">
        <v>247</v>
      </c>
      <c r="D41" s="7" t="s">
        <v>250</v>
      </c>
      <c r="E41" s="44">
        <v>210404</v>
      </c>
      <c r="F41" s="17">
        <v>116</v>
      </c>
      <c r="G41" s="25">
        <v>15</v>
      </c>
      <c r="H41" s="21">
        <v>12.931034482758621</v>
      </c>
      <c r="I41" s="37">
        <v>101</v>
      </c>
      <c r="J41" s="25">
        <v>41</v>
      </c>
      <c r="K41" s="21">
        <v>40.594059405940598</v>
      </c>
      <c r="L41" s="17">
        <v>116</v>
      </c>
      <c r="M41" s="25">
        <v>3</v>
      </c>
      <c r="N41" s="30">
        <v>2.5862068965517242</v>
      </c>
      <c r="O41" s="17">
        <v>116</v>
      </c>
      <c r="P41" s="25">
        <v>3</v>
      </c>
      <c r="Q41" s="31">
        <v>2.5862068965517242</v>
      </c>
      <c r="R41" s="25">
        <v>109</v>
      </c>
      <c r="S41" s="25">
        <v>5</v>
      </c>
      <c r="T41" s="21">
        <v>4.5871559633027523</v>
      </c>
      <c r="U41" s="37">
        <v>4</v>
      </c>
      <c r="V41" s="31">
        <v>3.4482758620689653</v>
      </c>
      <c r="W41" s="37">
        <v>0</v>
      </c>
      <c r="X41" s="30">
        <v>0</v>
      </c>
    </row>
    <row r="42" spans="2:24" ht="15" customHeight="1" x14ac:dyDescent="0.25">
      <c r="B42" s="5" t="s">
        <v>198</v>
      </c>
      <c r="C42" s="7" t="s">
        <v>247</v>
      </c>
      <c r="D42" s="7" t="s">
        <v>251</v>
      </c>
      <c r="E42" s="44">
        <v>210405</v>
      </c>
      <c r="F42" s="17">
        <v>72</v>
      </c>
      <c r="G42" s="25">
        <v>7</v>
      </c>
      <c r="H42" s="21">
        <v>9.7222222222222232</v>
      </c>
      <c r="I42" s="37">
        <v>65</v>
      </c>
      <c r="J42" s="25">
        <v>20</v>
      </c>
      <c r="K42" s="21">
        <v>30.76923076923077</v>
      </c>
      <c r="L42" s="17">
        <v>72</v>
      </c>
      <c r="M42" s="25">
        <v>2</v>
      </c>
      <c r="N42" s="30">
        <v>2.7777777777777777</v>
      </c>
      <c r="O42" s="17">
        <v>72</v>
      </c>
      <c r="P42" s="25">
        <v>2</v>
      </c>
      <c r="Q42" s="31">
        <v>2.7777777777777777</v>
      </c>
      <c r="R42" s="25">
        <v>67</v>
      </c>
      <c r="S42" s="25">
        <v>7</v>
      </c>
      <c r="T42" s="21">
        <v>10.44776119402985</v>
      </c>
      <c r="U42" s="37">
        <v>3</v>
      </c>
      <c r="V42" s="31">
        <v>4.1666666666666661</v>
      </c>
      <c r="W42" s="37">
        <v>0</v>
      </c>
      <c r="X42" s="30">
        <v>0</v>
      </c>
    </row>
    <row r="43" spans="2:24" ht="15" customHeight="1" x14ac:dyDescent="0.25">
      <c r="B43" s="5" t="s">
        <v>198</v>
      </c>
      <c r="C43" s="7" t="s">
        <v>247</v>
      </c>
      <c r="D43" s="7" t="s">
        <v>252</v>
      </c>
      <c r="E43" s="44">
        <v>210406</v>
      </c>
      <c r="F43" s="17">
        <v>292</v>
      </c>
      <c r="G43" s="25">
        <v>29</v>
      </c>
      <c r="H43" s="21">
        <v>9.9315068493150687</v>
      </c>
      <c r="I43" s="37">
        <v>263</v>
      </c>
      <c r="J43" s="25">
        <v>86</v>
      </c>
      <c r="K43" s="21">
        <v>32.699619771863119</v>
      </c>
      <c r="L43" s="17">
        <v>292</v>
      </c>
      <c r="M43" s="25">
        <v>3</v>
      </c>
      <c r="N43" s="30">
        <v>1.0273972602739725</v>
      </c>
      <c r="O43" s="17">
        <v>292</v>
      </c>
      <c r="P43" s="25">
        <v>1</v>
      </c>
      <c r="Q43" s="31">
        <v>0.34246575342465752</v>
      </c>
      <c r="R43" s="25">
        <v>259</v>
      </c>
      <c r="S43" s="25">
        <v>6</v>
      </c>
      <c r="T43" s="21">
        <v>2.3166023166023164</v>
      </c>
      <c r="U43" s="37">
        <v>29</v>
      </c>
      <c r="V43" s="31">
        <v>9.9315068493150687</v>
      </c>
      <c r="W43" s="37">
        <v>3</v>
      </c>
      <c r="X43" s="30">
        <v>1.0273972602739725</v>
      </c>
    </row>
    <row r="44" spans="2:24" ht="15" customHeight="1" x14ac:dyDescent="0.25">
      <c r="B44" s="5" t="s">
        <v>198</v>
      </c>
      <c r="C44" s="7" t="s">
        <v>247</v>
      </c>
      <c r="D44" s="7" t="s">
        <v>253</v>
      </c>
      <c r="E44" s="44">
        <v>210407</v>
      </c>
      <c r="F44" s="17">
        <v>419</v>
      </c>
      <c r="G44" s="25">
        <v>39</v>
      </c>
      <c r="H44" s="21">
        <v>9.3078758949880669</v>
      </c>
      <c r="I44" s="37">
        <v>380</v>
      </c>
      <c r="J44" s="25">
        <v>129</v>
      </c>
      <c r="K44" s="21">
        <v>33.94736842105263</v>
      </c>
      <c r="L44" s="17">
        <v>419</v>
      </c>
      <c r="M44" s="25">
        <v>9</v>
      </c>
      <c r="N44" s="30">
        <v>2.1479713603818613</v>
      </c>
      <c r="O44" s="17">
        <v>419</v>
      </c>
      <c r="P44" s="25">
        <v>3</v>
      </c>
      <c r="Q44" s="31">
        <v>0.71599045346062051</v>
      </c>
      <c r="R44" s="25">
        <v>381</v>
      </c>
      <c r="S44" s="25">
        <v>13</v>
      </c>
      <c r="T44" s="21">
        <v>3.4120734908136483</v>
      </c>
      <c r="U44" s="37">
        <v>31</v>
      </c>
      <c r="V44" s="31">
        <v>7.3985680190930783</v>
      </c>
      <c r="W44" s="37">
        <v>4</v>
      </c>
      <c r="X44" s="30">
        <v>0.95465393794749409</v>
      </c>
    </row>
    <row r="45" spans="2:24" ht="15" customHeight="1" x14ac:dyDescent="0.25">
      <c r="B45" s="5" t="s">
        <v>198</v>
      </c>
      <c r="C45" s="7" t="s">
        <v>254</v>
      </c>
      <c r="D45" s="7" t="s">
        <v>255</v>
      </c>
      <c r="E45" s="44">
        <v>210502</v>
      </c>
      <c r="F45" s="58">
        <v>13</v>
      </c>
      <c r="G45" s="59">
        <v>2</v>
      </c>
      <c r="H45" s="60">
        <v>15.384615384615385</v>
      </c>
      <c r="I45" s="37">
        <v>11</v>
      </c>
      <c r="J45" s="59">
        <v>5</v>
      </c>
      <c r="K45" s="21">
        <v>45.454545454545453</v>
      </c>
      <c r="L45" s="58">
        <v>13</v>
      </c>
      <c r="M45" s="59">
        <v>0</v>
      </c>
      <c r="N45" s="62">
        <v>0</v>
      </c>
      <c r="O45" s="58">
        <v>13</v>
      </c>
      <c r="P45" s="59">
        <v>0</v>
      </c>
      <c r="Q45" s="63">
        <v>0</v>
      </c>
      <c r="R45" s="25">
        <v>10</v>
      </c>
      <c r="S45" s="59">
        <v>0</v>
      </c>
      <c r="T45" s="21">
        <v>0</v>
      </c>
      <c r="U45" s="61">
        <v>2</v>
      </c>
      <c r="V45" s="63">
        <v>15.384615384615385</v>
      </c>
      <c r="W45" s="61">
        <v>1</v>
      </c>
      <c r="X45" s="62">
        <v>7.6923076923076925</v>
      </c>
    </row>
    <row r="46" spans="2:24" ht="15" customHeight="1" x14ac:dyDescent="0.25">
      <c r="B46" s="5" t="s">
        <v>198</v>
      </c>
      <c r="C46" s="7" t="s">
        <v>254</v>
      </c>
      <c r="D46" s="7" t="s">
        <v>256</v>
      </c>
      <c r="E46" s="44">
        <v>210501</v>
      </c>
      <c r="F46" s="58">
        <v>1314</v>
      </c>
      <c r="G46" s="59">
        <v>71</v>
      </c>
      <c r="H46" s="60">
        <v>5.4033485540334851</v>
      </c>
      <c r="I46" s="37">
        <v>1243</v>
      </c>
      <c r="J46" s="59">
        <v>351</v>
      </c>
      <c r="K46" s="21">
        <v>28.23813354786806</v>
      </c>
      <c r="L46" s="58">
        <v>1314</v>
      </c>
      <c r="M46" s="59">
        <v>12</v>
      </c>
      <c r="N46" s="62">
        <v>0.91324200913242004</v>
      </c>
      <c r="O46" s="58">
        <v>1314</v>
      </c>
      <c r="P46" s="59">
        <v>2</v>
      </c>
      <c r="Q46" s="63">
        <v>0.15220700152207001</v>
      </c>
      <c r="R46" s="25">
        <v>1204</v>
      </c>
      <c r="S46" s="59">
        <v>31</v>
      </c>
      <c r="T46" s="21">
        <v>2.5747508305647839</v>
      </c>
      <c r="U46" s="61">
        <v>95</v>
      </c>
      <c r="V46" s="63">
        <v>7.2298325722983252</v>
      </c>
      <c r="W46" s="61">
        <v>13</v>
      </c>
      <c r="X46" s="62">
        <v>0.98934550989345504</v>
      </c>
    </row>
    <row r="47" spans="2:24" ht="15" customHeight="1" x14ac:dyDescent="0.25">
      <c r="B47" s="5" t="s">
        <v>198</v>
      </c>
      <c r="C47" s="7" t="s">
        <v>254</v>
      </c>
      <c r="D47" s="7" t="s">
        <v>257</v>
      </c>
      <c r="E47" s="44">
        <v>210503</v>
      </c>
      <c r="F47" s="58">
        <v>144</v>
      </c>
      <c r="G47" s="59">
        <v>12</v>
      </c>
      <c r="H47" s="60">
        <v>8.3333333333333321</v>
      </c>
      <c r="I47" s="37">
        <v>132</v>
      </c>
      <c r="J47" s="59">
        <v>45</v>
      </c>
      <c r="K47" s="21">
        <v>34.090909090909086</v>
      </c>
      <c r="L47" s="58">
        <v>144</v>
      </c>
      <c r="M47" s="59">
        <v>1</v>
      </c>
      <c r="N47" s="62">
        <v>0.69444444444444442</v>
      </c>
      <c r="O47" s="58">
        <v>144</v>
      </c>
      <c r="P47" s="59">
        <v>0</v>
      </c>
      <c r="Q47" s="63">
        <v>0</v>
      </c>
      <c r="R47" s="25">
        <v>129</v>
      </c>
      <c r="S47" s="59">
        <v>6</v>
      </c>
      <c r="T47" s="21">
        <v>4.6511627906976747</v>
      </c>
      <c r="U47" s="61">
        <v>15</v>
      </c>
      <c r="V47" s="63">
        <v>10.416666666666668</v>
      </c>
      <c r="W47" s="61">
        <v>0</v>
      </c>
      <c r="X47" s="62">
        <v>0</v>
      </c>
    </row>
    <row r="48" spans="2:24" ht="15" customHeight="1" x14ac:dyDescent="0.25">
      <c r="B48" s="5" t="s">
        <v>198</v>
      </c>
      <c r="C48" s="7" t="s">
        <v>258</v>
      </c>
      <c r="D48" s="7" t="s">
        <v>259</v>
      </c>
      <c r="E48" s="44">
        <v>210602</v>
      </c>
      <c r="F48" s="17">
        <v>89</v>
      </c>
      <c r="G48" s="25">
        <v>17</v>
      </c>
      <c r="H48" s="21">
        <v>19.101123595505616</v>
      </c>
      <c r="I48" s="37">
        <v>72</v>
      </c>
      <c r="J48" s="25">
        <v>41</v>
      </c>
      <c r="K48" s="21">
        <v>56.944444444444443</v>
      </c>
      <c r="L48" s="17">
        <v>89</v>
      </c>
      <c r="M48" s="25">
        <v>3</v>
      </c>
      <c r="N48" s="30">
        <v>3.3707865168539324</v>
      </c>
      <c r="O48" s="17">
        <v>89</v>
      </c>
      <c r="P48" s="25">
        <v>0</v>
      </c>
      <c r="Q48" s="31">
        <v>0</v>
      </c>
      <c r="R48" s="25">
        <v>81</v>
      </c>
      <c r="S48" s="25">
        <v>3</v>
      </c>
      <c r="T48" s="21">
        <v>3.7037037037037033</v>
      </c>
      <c r="U48" s="37">
        <v>8</v>
      </c>
      <c r="V48" s="31">
        <v>8.9887640449438209</v>
      </c>
      <c r="W48" s="37">
        <v>0</v>
      </c>
      <c r="X48" s="30">
        <v>0</v>
      </c>
    </row>
    <row r="49" spans="2:24" ht="15" customHeight="1" x14ac:dyDescent="0.25">
      <c r="B49" s="5" t="s">
        <v>198</v>
      </c>
      <c r="C49" s="7" t="s">
        <v>258</v>
      </c>
      <c r="D49" s="7" t="s">
        <v>258</v>
      </c>
      <c r="E49" s="44">
        <v>210601</v>
      </c>
      <c r="F49" s="17">
        <v>545</v>
      </c>
      <c r="G49" s="25">
        <v>69</v>
      </c>
      <c r="H49" s="21">
        <v>12.660550458715598</v>
      </c>
      <c r="I49" s="37">
        <v>476</v>
      </c>
      <c r="J49" s="25">
        <v>174</v>
      </c>
      <c r="K49" s="21">
        <v>36.554621848739494</v>
      </c>
      <c r="L49" s="17">
        <v>545</v>
      </c>
      <c r="M49" s="25">
        <v>17</v>
      </c>
      <c r="N49" s="30">
        <v>3.1192660550458715</v>
      </c>
      <c r="O49" s="17">
        <v>545</v>
      </c>
      <c r="P49" s="25">
        <v>5</v>
      </c>
      <c r="Q49" s="31">
        <v>0.91743119266055051</v>
      </c>
      <c r="R49" s="25">
        <v>501</v>
      </c>
      <c r="S49" s="25">
        <v>26</v>
      </c>
      <c r="T49" s="21">
        <v>5.1896207584830334</v>
      </c>
      <c r="U49" s="37">
        <v>30</v>
      </c>
      <c r="V49" s="31">
        <v>5.5045871559633035</v>
      </c>
      <c r="W49" s="37">
        <v>9</v>
      </c>
      <c r="X49" s="30">
        <v>1.6513761467889909</v>
      </c>
    </row>
    <row r="50" spans="2:24" ht="15" customHeight="1" x14ac:dyDescent="0.25">
      <c r="B50" s="5" t="s">
        <v>198</v>
      </c>
      <c r="C50" s="7" t="s">
        <v>258</v>
      </c>
      <c r="D50" s="7" t="s">
        <v>260</v>
      </c>
      <c r="E50" s="44">
        <v>210605</v>
      </c>
      <c r="F50" s="58">
        <v>120</v>
      </c>
      <c r="G50" s="59">
        <v>11</v>
      </c>
      <c r="H50" s="60">
        <v>9.1666666666666661</v>
      </c>
      <c r="I50" s="37">
        <v>109</v>
      </c>
      <c r="J50" s="59">
        <v>40</v>
      </c>
      <c r="K50" s="21">
        <v>36.697247706422019</v>
      </c>
      <c r="L50" s="58">
        <v>120</v>
      </c>
      <c r="M50" s="59">
        <v>2</v>
      </c>
      <c r="N50" s="62">
        <v>1.6666666666666667</v>
      </c>
      <c r="O50" s="58">
        <v>120</v>
      </c>
      <c r="P50" s="59">
        <v>0</v>
      </c>
      <c r="Q50" s="63">
        <v>0</v>
      </c>
      <c r="R50" s="25">
        <v>105</v>
      </c>
      <c r="S50" s="59">
        <v>5</v>
      </c>
      <c r="T50" s="21">
        <v>4.7619047619047619</v>
      </c>
      <c r="U50" s="61">
        <v>11</v>
      </c>
      <c r="V50" s="63">
        <v>9.1666666666666661</v>
      </c>
      <c r="W50" s="61">
        <v>4</v>
      </c>
      <c r="X50" s="62">
        <v>3.3333333333333335</v>
      </c>
    </row>
    <row r="51" spans="2:24" ht="15" customHeight="1" x14ac:dyDescent="0.25">
      <c r="B51" s="5" t="s">
        <v>198</v>
      </c>
      <c r="C51" s="7" t="s">
        <v>258</v>
      </c>
      <c r="D51" s="7" t="s">
        <v>261</v>
      </c>
      <c r="E51" s="44">
        <v>210607</v>
      </c>
      <c r="F51" s="58">
        <v>373</v>
      </c>
      <c r="G51" s="59">
        <v>23</v>
      </c>
      <c r="H51" s="60">
        <v>6.1662198391420908</v>
      </c>
      <c r="I51" s="37">
        <v>350</v>
      </c>
      <c r="J51" s="59">
        <v>82</v>
      </c>
      <c r="K51" s="21">
        <v>23.428571428571431</v>
      </c>
      <c r="L51" s="58">
        <v>373</v>
      </c>
      <c r="M51" s="59">
        <v>5</v>
      </c>
      <c r="N51" s="62">
        <v>1.3404825737265416</v>
      </c>
      <c r="O51" s="58">
        <v>373</v>
      </c>
      <c r="P51" s="59">
        <v>2</v>
      </c>
      <c r="Q51" s="63">
        <v>0.53619302949061665</v>
      </c>
      <c r="R51" s="25">
        <v>347</v>
      </c>
      <c r="S51" s="59">
        <v>9</v>
      </c>
      <c r="T51" s="21">
        <v>2.5936599423631126</v>
      </c>
      <c r="U51" s="61">
        <v>17</v>
      </c>
      <c r="V51" s="63">
        <v>4.5576407506702417</v>
      </c>
      <c r="W51" s="61">
        <v>7</v>
      </c>
      <c r="X51" s="62">
        <v>1.8766756032171581</v>
      </c>
    </row>
    <row r="52" spans="2:24" ht="15" customHeight="1" x14ac:dyDescent="0.25">
      <c r="B52" s="5" t="s">
        <v>198</v>
      </c>
      <c r="C52" s="7" t="s">
        <v>258</v>
      </c>
      <c r="D52" s="7" t="s">
        <v>262</v>
      </c>
      <c r="E52" s="44">
        <v>210608</v>
      </c>
      <c r="F52" s="17">
        <v>122</v>
      </c>
      <c r="G52" s="25">
        <v>26</v>
      </c>
      <c r="H52" s="21">
        <v>21.311475409836063</v>
      </c>
      <c r="I52" s="37">
        <v>96</v>
      </c>
      <c r="J52" s="25">
        <v>35</v>
      </c>
      <c r="K52" s="21">
        <v>36.458333333333329</v>
      </c>
      <c r="L52" s="17">
        <v>122</v>
      </c>
      <c r="M52" s="25">
        <v>1</v>
      </c>
      <c r="N52" s="30">
        <v>0.81967213114754101</v>
      </c>
      <c r="O52" s="17">
        <v>122</v>
      </c>
      <c r="P52" s="25">
        <v>0</v>
      </c>
      <c r="Q52" s="31">
        <v>0</v>
      </c>
      <c r="R52" s="25">
        <v>108</v>
      </c>
      <c r="S52" s="25">
        <v>6</v>
      </c>
      <c r="T52" s="21">
        <v>5.5555555555555554</v>
      </c>
      <c r="U52" s="37">
        <v>13</v>
      </c>
      <c r="V52" s="31">
        <v>10.655737704918032</v>
      </c>
      <c r="W52" s="37">
        <v>1</v>
      </c>
      <c r="X52" s="30">
        <v>0.81967213114754101</v>
      </c>
    </row>
    <row r="53" spans="2:24" ht="15" customHeight="1" x14ac:dyDescent="0.25">
      <c r="B53" s="5" t="s">
        <v>198</v>
      </c>
      <c r="C53" s="7" t="s">
        <v>263</v>
      </c>
      <c r="D53" s="7" t="s">
        <v>264</v>
      </c>
      <c r="E53" s="44">
        <v>210902</v>
      </c>
      <c r="F53" s="17">
        <v>56</v>
      </c>
      <c r="G53" s="25">
        <v>7</v>
      </c>
      <c r="H53" s="21">
        <v>12.5</v>
      </c>
      <c r="I53" s="37">
        <v>49</v>
      </c>
      <c r="J53" s="25">
        <v>20</v>
      </c>
      <c r="K53" s="21">
        <v>40.816326530612244</v>
      </c>
      <c r="L53" s="17">
        <v>56</v>
      </c>
      <c r="M53" s="25">
        <v>0</v>
      </c>
      <c r="N53" s="30">
        <v>0</v>
      </c>
      <c r="O53" s="17">
        <v>56</v>
      </c>
      <c r="P53" s="25">
        <v>0</v>
      </c>
      <c r="Q53" s="31">
        <v>0</v>
      </c>
      <c r="R53" s="25">
        <v>53</v>
      </c>
      <c r="S53" s="25">
        <v>0</v>
      </c>
      <c r="T53" s="21">
        <v>0</v>
      </c>
      <c r="U53" s="37">
        <v>3</v>
      </c>
      <c r="V53" s="31">
        <v>5.3571428571428568</v>
      </c>
      <c r="W53" s="37">
        <v>0</v>
      </c>
      <c r="X53" s="30">
        <v>0</v>
      </c>
    </row>
    <row r="54" spans="2:24" ht="15" customHeight="1" x14ac:dyDescent="0.25">
      <c r="B54" s="5" t="s">
        <v>198</v>
      </c>
      <c r="C54" s="7" t="s">
        <v>263</v>
      </c>
      <c r="D54" s="7" t="s">
        <v>265</v>
      </c>
      <c r="E54" s="44">
        <v>210903</v>
      </c>
      <c r="F54" s="17">
        <v>81</v>
      </c>
      <c r="G54" s="25">
        <v>17</v>
      </c>
      <c r="H54" s="21">
        <v>20.987654320987652</v>
      </c>
      <c r="I54" s="37">
        <v>64</v>
      </c>
      <c r="J54" s="25">
        <v>28</v>
      </c>
      <c r="K54" s="21">
        <v>43.75</v>
      </c>
      <c r="L54" s="17">
        <v>81</v>
      </c>
      <c r="M54" s="25">
        <v>4</v>
      </c>
      <c r="N54" s="30">
        <v>4.9382716049382713</v>
      </c>
      <c r="O54" s="17">
        <v>81</v>
      </c>
      <c r="P54" s="25">
        <v>0</v>
      </c>
      <c r="Q54" s="31">
        <v>0</v>
      </c>
      <c r="R54" s="25">
        <v>73</v>
      </c>
      <c r="S54" s="25">
        <v>3</v>
      </c>
      <c r="T54" s="21">
        <v>4.10958904109589</v>
      </c>
      <c r="U54" s="37">
        <v>8</v>
      </c>
      <c r="V54" s="31">
        <v>9.8765432098765427</v>
      </c>
      <c r="W54" s="37">
        <v>0</v>
      </c>
      <c r="X54" s="30">
        <v>0</v>
      </c>
    </row>
    <row r="55" spans="2:24" ht="15" customHeight="1" x14ac:dyDescent="0.25">
      <c r="B55" s="5" t="s">
        <v>198</v>
      </c>
      <c r="C55" s="7" t="s">
        <v>263</v>
      </c>
      <c r="D55" s="7" t="s">
        <v>263</v>
      </c>
      <c r="E55" s="44">
        <v>210901</v>
      </c>
      <c r="F55" s="17">
        <v>311</v>
      </c>
      <c r="G55" s="25">
        <v>57</v>
      </c>
      <c r="H55" s="21">
        <v>18.327974276527332</v>
      </c>
      <c r="I55" s="37">
        <v>254</v>
      </c>
      <c r="J55" s="25">
        <v>102</v>
      </c>
      <c r="K55" s="21">
        <v>40.15748031496063</v>
      </c>
      <c r="L55" s="17">
        <v>311</v>
      </c>
      <c r="M55" s="25">
        <v>6</v>
      </c>
      <c r="N55" s="30">
        <v>1.929260450160772</v>
      </c>
      <c r="O55" s="17">
        <v>311</v>
      </c>
      <c r="P55" s="25">
        <v>3</v>
      </c>
      <c r="Q55" s="31">
        <v>0.96463022508038598</v>
      </c>
      <c r="R55" s="25">
        <v>279</v>
      </c>
      <c r="S55" s="25">
        <v>16</v>
      </c>
      <c r="T55" s="21">
        <v>5.7347670250896057</v>
      </c>
      <c r="U55" s="37">
        <v>20</v>
      </c>
      <c r="V55" s="31">
        <v>6.430868167202572</v>
      </c>
      <c r="W55" s="37">
        <v>9</v>
      </c>
      <c r="X55" s="30">
        <v>2.8938906752411575</v>
      </c>
    </row>
    <row r="56" spans="2:24" ht="15" customHeight="1" x14ac:dyDescent="0.25">
      <c r="B56" s="5" t="s">
        <v>198</v>
      </c>
      <c r="C56" s="7" t="s">
        <v>263</v>
      </c>
      <c r="D56" s="7" t="s">
        <v>266</v>
      </c>
      <c r="E56" s="44">
        <v>210904</v>
      </c>
      <c r="F56" s="17">
        <v>54</v>
      </c>
      <c r="G56" s="25">
        <v>10</v>
      </c>
      <c r="H56" s="21">
        <v>18.518518518518519</v>
      </c>
      <c r="I56" s="37">
        <v>44</v>
      </c>
      <c r="J56" s="25">
        <v>18</v>
      </c>
      <c r="K56" s="21">
        <v>40.909090909090914</v>
      </c>
      <c r="L56" s="17">
        <v>54</v>
      </c>
      <c r="M56" s="25">
        <v>2</v>
      </c>
      <c r="N56" s="30">
        <v>3.7037037037037033</v>
      </c>
      <c r="O56" s="17">
        <v>54</v>
      </c>
      <c r="P56" s="25">
        <v>1</v>
      </c>
      <c r="Q56" s="31">
        <v>1.8518518518518516</v>
      </c>
      <c r="R56" s="25">
        <v>48</v>
      </c>
      <c r="S56" s="25">
        <v>3</v>
      </c>
      <c r="T56" s="21">
        <v>6.25</v>
      </c>
      <c r="U56" s="37">
        <v>4</v>
      </c>
      <c r="V56" s="31">
        <v>7.4074074074074066</v>
      </c>
      <c r="W56" s="37">
        <v>1</v>
      </c>
      <c r="X56" s="30">
        <v>1.8518518518518516</v>
      </c>
    </row>
    <row r="57" spans="2:24" ht="15" customHeight="1" x14ac:dyDescent="0.25">
      <c r="B57" s="5" t="s">
        <v>198</v>
      </c>
      <c r="C57" s="7" t="s">
        <v>198</v>
      </c>
      <c r="D57" s="7" t="s">
        <v>267</v>
      </c>
      <c r="E57" s="44">
        <v>210102</v>
      </c>
      <c r="F57" s="17">
        <v>480</v>
      </c>
      <c r="G57" s="25">
        <v>49</v>
      </c>
      <c r="H57" s="21">
        <v>10.208333333333334</v>
      </c>
      <c r="I57" s="37">
        <v>431</v>
      </c>
      <c r="J57" s="25">
        <v>148</v>
      </c>
      <c r="K57" s="21">
        <v>34.338747099767978</v>
      </c>
      <c r="L57" s="17">
        <v>480</v>
      </c>
      <c r="M57" s="25">
        <v>11</v>
      </c>
      <c r="N57" s="30">
        <v>2.2916666666666665</v>
      </c>
      <c r="O57" s="17">
        <v>480</v>
      </c>
      <c r="P57" s="25">
        <v>5</v>
      </c>
      <c r="Q57" s="31">
        <v>1.0416666666666665</v>
      </c>
      <c r="R57" s="25">
        <v>444</v>
      </c>
      <c r="S57" s="25">
        <v>25</v>
      </c>
      <c r="T57" s="21">
        <v>5.6306306306306304</v>
      </c>
      <c r="U57" s="37">
        <v>25</v>
      </c>
      <c r="V57" s="31">
        <v>5.2083333333333339</v>
      </c>
      <c r="W57" s="37">
        <v>6</v>
      </c>
      <c r="X57" s="30">
        <v>1.25</v>
      </c>
    </row>
    <row r="58" spans="2:24" ht="15" customHeight="1" x14ac:dyDescent="0.25">
      <c r="B58" s="5" t="s">
        <v>198</v>
      </c>
      <c r="C58" s="7" t="s">
        <v>198</v>
      </c>
      <c r="D58" s="7" t="s">
        <v>268</v>
      </c>
      <c r="E58" s="44">
        <v>210103</v>
      </c>
      <c r="F58" s="17">
        <v>92</v>
      </c>
      <c r="G58" s="25">
        <v>15</v>
      </c>
      <c r="H58" s="21">
        <v>16.304347826086957</v>
      </c>
      <c r="I58" s="37">
        <v>77</v>
      </c>
      <c r="J58" s="25">
        <v>27</v>
      </c>
      <c r="K58" s="21">
        <v>35.064935064935064</v>
      </c>
      <c r="L58" s="17">
        <v>92</v>
      </c>
      <c r="M58" s="25">
        <v>2</v>
      </c>
      <c r="N58" s="30">
        <v>2.1739130434782608</v>
      </c>
      <c r="O58" s="17">
        <v>92</v>
      </c>
      <c r="P58" s="25">
        <v>0</v>
      </c>
      <c r="Q58" s="31">
        <v>0</v>
      </c>
      <c r="R58" s="25">
        <v>84</v>
      </c>
      <c r="S58" s="25">
        <v>4</v>
      </c>
      <c r="T58" s="21">
        <v>4.7619047619047619</v>
      </c>
      <c r="U58" s="37">
        <v>7</v>
      </c>
      <c r="V58" s="31">
        <v>7.608695652173914</v>
      </c>
      <c r="W58" s="37">
        <v>1</v>
      </c>
      <c r="X58" s="30">
        <v>1.0869565217391304</v>
      </c>
    </row>
    <row r="59" spans="2:24" ht="15" customHeight="1" x14ac:dyDescent="0.25">
      <c r="B59" s="5" t="s">
        <v>198</v>
      </c>
      <c r="C59" s="7" t="s">
        <v>198</v>
      </c>
      <c r="D59" s="7" t="s">
        <v>269</v>
      </c>
      <c r="E59" s="44">
        <v>210105</v>
      </c>
      <c r="F59" s="17">
        <v>221</v>
      </c>
      <c r="G59" s="25">
        <v>20</v>
      </c>
      <c r="H59" s="21">
        <v>9.0497737556561084</v>
      </c>
      <c r="I59" s="37">
        <v>201</v>
      </c>
      <c r="J59" s="25">
        <v>65</v>
      </c>
      <c r="K59" s="21">
        <v>32.338308457711449</v>
      </c>
      <c r="L59" s="17">
        <v>221</v>
      </c>
      <c r="M59" s="25">
        <v>4</v>
      </c>
      <c r="N59" s="30">
        <v>1.809954751131222</v>
      </c>
      <c r="O59" s="17">
        <v>221</v>
      </c>
      <c r="P59" s="25">
        <v>0</v>
      </c>
      <c r="Q59" s="31">
        <v>0</v>
      </c>
      <c r="R59" s="25">
        <v>208</v>
      </c>
      <c r="S59" s="25">
        <v>7</v>
      </c>
      <c r="T59" s="21">
        <v>3.3653846153846154</v>
      </c>
      <c r="U59" s="37">
        <v>11</v>
      </c>
      <c r="V59" s="31">
        <v>4.9773755656108598</v>
      </c>
      <c r="W59" s="37">
        <v>2</v>
      </c>
      <c r="X59" s="30">
        <v>0.90497737556561098</v>
      </c>
    </row>
    <row r="60" spans="2:24" ht="15" customHeight="1" x14ac:dyDescent="0.25">
      <c r="B60" s="5" t="s">
        <v>198</v>
      </c>
      <c r="C60" s="7" t="s">
        <v>198</v>
      </c>
      <c r="D60" s="7" t="s">
        <v>247</v>
      </c>
      <c r="E60" s="44">
        <v>210106</v>
      </c>
      <c r="F60" s="17">
        <v>155</v>
      </c>
      <c r="G60" s="25">
        <v>15</v>
      </c>
      <c r="H60" s="21">
        <v>9.67741935483871</v>
      </c>
      <c r="I60" s="37">
        <v>140</v>
      </c>
      <c r="J60" s="25">
        <v>56</v>
      </c>
      <c r="K60" s="21">
        <v>40</v>
      </c>
      <c r="L60" s="17">
        <v>155</v>
      </c>
      <c r="M60" s="25">
        <v>1</v>
      </c>
      <c r="N60" s="30">
        <v>0.64516129032258063</v>
      </c>
      <c r="O60" s="17">
        <v>155</v>
      </c>
      <c r="P60" s="25">
        <v>0</v>
      </c>
      <c r="Q60" s="31">
        <v>0</v>
      </c>
      <c r="R60" s="25">
        <v>140</v>
      </c>
      <c r="S60" s="25">
        <v>3</v>
      </c>
      <c r="T60" s="21">
        <v>2.1428571428571428</v>
      </c>
      <c r="U60" s="37">
        <v>14</v>
      </c>
      <c r="V60" s="31">
        <v>9.0322580645161281</v>
      </c>
      <c r="W60" s="37">
        <v>1</v>
      </c>
      <c r="X60" s="30">
        <v>0.64516129032258063</v>
      </c>
    </row>
    <row r="61" spans="2:24" ht="15" customHeight="1" x14ac:dyDescent="0.25">
      <c r="B61" s="5" t="s">
        <v>198</v>
      </c>
      <c r="C61" s="7" t="s">
        <v>198</v>
      </c>
      <c r="D61" s="7" t="s">
        <v>270</v>
      </c>
      <c r="E61" s="44">
        <v>210107</v>
      </c>
      <c r="F61" s="17">
        <v>238</v>
      </c>
      <c r="G61" s="25">
        <v>29</v>
      </c>
      <c r="H61" s="21">
        <v>12.184873949579831</v>
      </c>
      <c r="I61" s="37">
        <v>209</v>
      </c>
      <c r="J61" s="25">
        <v>77</v>
      </c>
      <c r="K61" s="21">
        <v>36.84210526315789</v>
      </c>
      <c r="L61" s="17">
        <v>238</v>
      </c>
      <c r="M61" s="25">
        <v>8</v>
      </c>
      <c r="N61" s="30">
        <v>3.3613445378151261</v>
      </c>
      <c r="O61" s="17">
        <v>238</v>
      </c>
      <c r="P61" s="25">
        <v>1</v>
      </c>
      <c r="Q61" s="31">
        <v>0.42016806722689076</v>
      </c>
      <c r="R61" s="25">
        <v>208</v>
      </c>
      <c r="S61" s="25">
        <v>10</v>
      </c>
      <c r="T61" s="21">
        <v>4.8076923076923084</v>
      </c>
      <c r="U61" s="37">
        <v>25</v>
      </c>
      <c r="V61" s="31">
        <v>10.504201680672269</v>
      </c>
      <c r="W61" s="37">
        <v>4</v>
      </c>
      <c r="X61" s="30">
        <v>1.680672268907563</v>
      </c>
    </row>
    <row r="62" spans="2:24" ht="15" customHeight="1" x14ac:dyDescent="0.25">
      <c r="B62" s="5" t="s">
        <v>198</v>
      </c>
      <c r="C62" s="7" t="s">
        <v>198</v>
      </c>
      <c r="D62" s="7" t="s">
        <v>271</v>
      </c>
      <c r="E62" s="44">
        <v>210108</v>
      </c>
      <c r="F62" s="17">
        <v>113</v>
      </c>
      <c r="G62" s="25">
        <v>11</v>
      </c>
      <c r="H62" s="21">
        <v>9.7345132743362832</v>
      </c>
      <c r="I62" s="37">
        <v>102</v>
      </c>
      <c r="J62" s="25">
        <v>33</v>
      </c>
      <c r="K62" s="21">
        <v>32.352941176470587</v>
      </c>
      <c r="L62" s="17">
        <v>113</v>
      </c>
      <c r="M62" s="25">
        <v>5</v>
      </c>
      <c r="N62" s="30">
        <v>4.4247787610619467</v>
      </c>
      <c r="O62" s="17">
        <v>113</v>
      </c>
      <c r="P62" s="25">
        <v>3</v>
      </c>
      <c r="Q62" s="31">
        <v>2.6548672566371683</v>
      </c>
      <c r="R62" s="25">
        <v>104</v>
      </c>
      <c r="S62" s="25">
        <v>9</v>
      </c>
      <c r="T62" s="21">
        <v>8.6538461538461533</v>
      </c>
      <c r="U62" s="37">
        <v>6</v>
      </c>
      <c r="V62" s="31">
        <v>5.3097345132743365</v>
      </c>
      <c r="W62" s="37">
        <v>0</v>
      </c>
      <c r="X62" s="30">
        <v>0</v>
      </c>
    </row>
    <row r="63" spans="2:24" ht="15" customHeight="1" x14ac:dyDescent="0.25">
      <c r="B63" s="5" t="s">
        <v>198</v>
      </c>
      <c r="C63" s="7" t="s">
        <v>198</v>
      </c>
      <c r="D63" s="7" t="s">
        <v>272</v>
      </c>
      <c r="E63" s="44">
        <v>210110</v>
      </c>
      <c r="F63" s="17">
        <v>139</v>
      </c>
      <c r="G63" s="25">
        <v>12</v>
      </c>
      <c r="H63" s="21">
        <v>8.6330935251798557</v>
      </c>
      <c r="I63" s="37">
        <v>127</v>
      </c>
      <c r="J63" s="25">
        <v>56</v>
      </c>
      <c r="K63" s="21">
        <v>44.094488188976378</v>
      </c>
      <c r="L63" s="17">
        <v>139</v>
      </c>
      <c r="M63" s="25">
        <v>3</v>
      </c>
      <c r="N63" s="30">
        <v>2.1582733812949639</v>
      </c>
      <c r="O63" s="17">
        <v>139</v>
      </c>
      <c r="P63" s="25">
        <v>1</v>
      </c>
      <c r="Q63" s="31">
        <v>0.71942446043165476</v>
      </c>
      <c r="R63" s="25">
        <v>120</v>
      </c>
      <c r="S63" s="25">
        <v>5</v>
      </c>
      <c r="T63" s="21">
        <v>4.1666666666666661</v>
      </c>
      <c r="U63" s="37">
        <v>16</v>
      </c>
      <c r="V63" s="31">
        <v>11.510791366906476</v>
      </c>
      <c r="W63" s="37">
        <v>2</v>
      </c>
      <c r="X63" s="30">
        <v>1.4388489208633095</v>
      </c>
    </row>
    <row r="64" spans="2:24" ht="15" customHeight="1" x14ac:dyDescent="0.25">
      <c r="B64" s="5" t="s">
        <v>198</v>
      </c>
      <c r="C64" s="7" t="s">
        <v>198</v>
      </c>
      <c r="D64" s="7" t="s">
        <v>273</v>
      </c>
      <c r="E64" s="44">
        <v>210112</v>
      </c>
      <c r="F64" s="17">
        <v>133</v>
      </c>
      <c r="G64" s="25">
        <v>14</v>
      </c>
      <c r="H64" s="21">
        <v>10.526315789473683</v>
      </c>
      <c r="I64" s="37">
        <v>119</v>
      </c>
      <c r="J64" s="25">
        <v>40</v>
      </c>
      <c r="K64" s="21">
        <v>33.613445378151262</v>
      </c>
      <c r="L64" s="17">
        <v>133</v>
      </c>
      <c r="M64" s="25">
        <v>2</v>
      </c>
      <c r="N64" s="30">
        <v>1.5037593984962405</v>
      </c>
      <c r="O64" s="17">
        <v>133</v>
      </c>
      <c r="P64" s="25">
        <v>1</v>
      </c>
      <c r="Q64" s="31">
        <v>0.75187969924812026</v>
      </c>
      <c r="R64" s="25">
        <v>124</v>
      </c>
      <c r="S64" s="25">
        <v>7</v>
      </c>
      <c r="T64" s="21">
        <v>5.6451612903225801</v>
      </c>
      <c r="U64" s="37">
        <v>7</v>
      </c>
      <c r="V64" s="31">
        <v>5.2631578947368416</v>
      </c>
      <c r="W64" s="37">
        <v>1</v>
      </c>
      <c r="X64" s="30">
        <v>0.75187969924812026</v>
      </c>
    </row>
    <row r="65" spans="2:24" ht="15" customHeight="1" x14ac:dyDescent="0.25">
      <c r="B65" s="5" t="s">
        <v>198</v>
      </c>
      <c r="C65" s="7" t="s">
        <v>198</v>
      </c>
      <c r="D65" s="7" t="s">
        <v>198</v>
      </c>
      <c r="E65" s="44">
        <v>210101</v>
      </c>
      <c r="F65" s="17">
        <v>2955</v>
      </c>
      <c r="G65" s="25">
        <v>273</v>
      </c>
      <c r="H65" s="21">
        <v>9.2385786802030445</v>
      </c>
      <c r="I65" s="37">
        <v>2682</v>
      </c>
      <c r="J65" s="25">
        <v>990</v>
      </c>
      <c r="K65" s="21">
        <v>36.912751677852349</v>
      </c>
      <c r="L65" s="17">
        <v>2955</v>
      </c>
      <c r="M65" s="25">
        <v>78</v>
      </c>
      <c r="N65" s="30">
        <v>2.6395939086294415</v>
      </c>
      <c r="O65" s="17">
        <v>2955</v>
      </c>
      <c r="P65" s="25">
        <v>30</v>
      </c>
      <c r="Q65" s="31">
        <v>1.015228426395939</v>
      </c>
      <c r="R65" s="25">
        <v>2764</v>
      </c>
      <c r="S65" s="25">
        <v>154</v>
      </c>
      <c r="T65" s="21">
        <v>5.5716353111432708</v>
      </c>
      <c r="U65" s="37">
        <v>142</v>
      </c>
      <c r="V65" s="31">
        <v>4.8054145516074449</v>
      </c>
      <c r="W65" s="37">
        <v>19</v>
      </c>
      <c r="X65" s="30">
        <v>0.64297800338409483</v>
      </c>
    </row>
    <row r="66" spans="2:24" ht="15" customHeight="1" x14ac:dyDescent="0.25">
      <c r="B66" s="5" t="s">
        <v>198</v>
      </c>
      <c r="C66" s="7" t="s">
        <v>274</v>
      </c>
      <c r="D66" s="7" t="s">
        <v>275</v>
      </c>
      <c r="E66" s="44">
        <v>211002</v>
      </c>
      <c r="F66" s="17">
        <v>126</v>
      </c>
      <c r="G66" s="25">
        <v>27</v>
      </c>
      <c r="H66" s="21">
        <v>21.428571428571427</v>
      </c>
      <c r="I66" s="37">
        <v>99</v>
      </c>
      <c r="J66" s="25">
        <v>46</v>
      </c>
      <c r="K66" s="21">
        <v>46.464646464646464</v>
      </c>
      <c r="L66" s="17">
        <v>126</v>
      </c>
      <c r="M66" s="25">
        <v>7</v>
      </c>
      <c r="N66" s="30">
        <v>5.5555555555555554</v>
      </c>
      <c r="O66" s="17">
        <v>126</v>
      </c>
      <c r="P66" s="25">
        <v>4</v>
      </c>
      <c r="Q66" s="31">
        <v>3.1746031746031744</v>
      </c>
      <c r="R66" s="25">
        <v>113</v>
      </c>
      <c r="S66" s="25">
        <v>7</v>
      </c>
      <c r="T66" s="21">
        <v>6.1946902654867255</v>
      </c>
      <c r="U66" s="37">
        <v>7</v>
      </c>
      <c r="V66" s="31">
        <v>5.5555555555555554</v>
      </c>
      <c r="W66" s="37">
        <v>2</v>
      </c>
      <c r="X66" s="30">
        <v>1.5873015873015872</v>
      </c>
    </row>
    <row r="67" spans="2:24" ht="15" customHeight="1" x14ac:dyDescent="0.25">
      <c r="B67" s="5" t="s">
        <v>198</v>
      </c>
      <c r="C67" s="7" t="s">
        <v>274</v>
      </c>
      <c r="D67" s="7" t="s">
        <v>276</v>
      </c>
      <c r="E67" s="44">
        <v>211005</v>
      </c>
      <c r="F67" s="17">
        <v>48</v>
      </c>
      <c r="G67" s="25">
        <v>8</v>
      </c>
      <c r="H67" s="21">
        <v>16.666666666666664</v>
      </c>
      <c r="I67" s="37">
        <v>40</v>
      </c>
      <c r="J67" s="25">
        <v>21</v>
      </c>
      <c r="K67" s="21">
        <v>52.5</v>
      </c>
      <c r="L67" s="17">
        <v>48</v>
      </c>
      <c r="M67" s="25">
        <v>1</v>
      </c>
      <c r="N67" s="30">
        <v>2.083333333333333</v>
      </c>
      <c r="O67" s="17">
        <v>48</v>
      </c>
      <c r="P67" s="25">
        <v>1</v>
      </c>
      <c r="Q67" s="31">
        <v>2.083333333333333</v>
      </c>
      <c r="R67" s="25">
        <v>34</v>
      </c>
      <c r="S67" s="25">
        <v>0</v>
      </c>
      <c r="T67" s="21">
        <v>0</v>
      </c>
      <c r="U67" s="37">
        <v>13</v>
      </c>
      <c r="V67" s="31">
        <v>27.083333333333332</v>
      </c>
      <c r="W67" s="37">
        <v>0</v>
      </c>
      <c r="X67" s="30">
        <v>0</v>
      </c>
    </row>
    <row r="68" spans="2:24" ht="15" customHeight="1" x14ac:dyDescent="0.25">
      <c r="B68" s="5" t="s">
        <v>198</v>
      </c>
      <c r="C68" s="7" t="s">
        <v>277</v>
      </c>
      <c r="D68" s="7" t="s">
        <v>278</v>
      </c>
      <c r="E68" s="44">
        <v>211207</v>
      </c>
      <c r="F68" s="17">
        <v>93</v>
      </c>
      <c r="G68" s="25">
        <v>9</v>
      </c>
      <c r="H68" s="21">
        <v>9.67741935483871</v>
      </c>
      <c r="I68" s="37">
        <v>84</v>
      </c>
      <c r="J68" s="25">
        <v>33</v>
      </c>
      <c r="K68" s="21">
        <v>39.285714285714285</v>
      </c>
      <c r="L68" s="17">
        <v>93</v>
      </c>
      <c r="M68" s="25">
        <v>1</v>
      </c>
      <c r="N68" s="30">
        <v>1.0752688172043012</v>
      </c>
      <c r="O68" s="17">
        <v>93</v>
      </c>
      <c r="P68" s="25">
        <v>0</v>
      </c>
      <c r="Q68" s="31">
        <v>0</v>
      </c>
      <c r="R68" s="25">
        <v>86</v>
      </c>
      <c r="S68" s="25">
        <v>1</v>
      </c>
      <c r="T68" s="21">
        <v>1.1627906976744187</v>
      </c>
      <c r="U68" s="37">
        <v>6</v>
      </c>
      <c r="V68" s="31">
        <v>6.4516129032258061</v>
      </c>
      <c r="W68" s="37">
        <v>1</v>
      </c>
      <c r="X68" s="30">
        <v>1.0752688172043012</v>
      </c>
    </row>
    <row r="69" spans="2:24" ht="15" customHeight="1" x14ac:dyDescent="0.25">
      <c r="B69" s="5" t="s">
        <v>198</v>
      </c>
      <c r="C69" s="7" t="s">
        <v>277</v>
      </c>
      <c r="D69" s="7" t="s">
        <v>279</v>
      </c>
      <c r="E69" s="44">
        <v>211210</v>
      </c>
      <c r="F69" s="17">
        <v>392</v>
      </c>
      <c r="G69" s="25">
        <v>45</v>
      </c>
      <c r="H69" s="21">
        <v>11.479591836734695</v>
      </c>
      <c r="I69" s="37">
        <v>347</v>
      </c>
      <c r="J69" s="25">
        <v>93</v>
      </c>
      <c r="K69" s="21">
        <v>26.801152737752158</v>
      </c>
      <c r="L69" s="17">
        <v>392</v>
      </c>
      <c r="M69" s="25">
        <v>14</v>
      </c>
      <c r="N69" s="30">
        <v>3.5714285714285712</v>
      </c>
      <c r="O69" s="17">
        <v>392</v>
      </c>
      <c r="P69" s="25">
        <v>7</v>
      </c>
      <c r="Q69" s="31">
        <v>1.7857142857142856</v>
      </c>
      <c r="R69" s="25">
        <v>352</v>
      </c>
      <c r="S69" s="25">
        <v>30</v>
      </c>
      <c r="T69" s="21">
        <v>8.5227272727272716</v>
      </c>
      <c r="U69" s="37">
        <v>26</v>
      </c>
      <c r="V69" s="31">
        <v>6.6326530612244898</v>
      </c>
      <c r="W69" s="37">
        <v>7</v>
      </c>
      <c r="X69" s="30">
        <v>1.7857142857142856</v>
      </c>
    </row>
    <row r="70" spans="2:24" ht="15" customHeight="1" x14ac:dyDescent="0.25">
      <c r="B70" s="5" t="s">
        <v>198</v>
      </c>
      <c r="C70" s="7" t="s">
        <v>277</v>
      </c>
      <c r="D70" s="7" t="s">
        <v>280</v>
      </c>
      <c r="E70" s="44">
        <v>211208</v>
      </c>
      <c r="F70" s="58">
        <v>79</v>
      </c>
      <c r="G70" s="59">
        <v>2</v>
      </c>
      <c r="H70" s="60">
        <v>2.5316455696202533</v>
      </c>
      <c r="I70" s="61">
        <v>77</v>
      </c>
      <c r="J70" s="59">
        <v>15</v>
      </c>
      <c r="K70" s="60">
        <v>19.480519480519483</v>
      </c>
      <c r="L70" s="58">
        <v>79</v>
      </c>
      <c r="M70" s="59">
        <v>0</v>
      </c>
      <c r="N70" s="62">
        <v>0</v>
      </c>
      <c r="O70" s="58">
        <v>79</v>
      </c>
      <c r="P70" s="59">
        <v>2</v>
      </c>
      <c r="Q70" s="63">
        <v>2.5316455696202533</v>
      </c>
      <c r="R70" s="25">
        <v>72</v>
      </c>
      <c r="S70" s="59">
        <v>4</v>
      </c>
      <c r="T70" s="21">
        <v>5.5555555555555554</v>
      </c>
      <c r="U70" s="61">
        <v>5</v>
      </c>
      <c r="V70" s="63">
        <v>6.3291139240506329</v>
      </c>
      <c r="W70" s="61">
        <v>0</v>
      </c>
      <c r="X70" s="62">
        <v>0</v>
      </c>
    </row>
    <row r="71" spans="2:24" ht="15" customHeight="1" x14ac:dyDescent="0.25">
      <c r="B71" s="5" t="s">
        <v>198</v>
      </c>
      <c r="C71" s="7" t="s">
        <v>281</v>
      </c>
      <c r="D71" s="7" t="s">
        <v>282</v>
      </c>
      <c r="E71" s="44">
        <v>211302</v>
      </c>
      <c r="F71" s="58">
        <v>20</v>
      </c>
      <c r="G71" s="59">
        <v>8</v>
      </c>
      <c r="H71" s="60">
        <v>40</v>
      </c>
      <c r="I71" s="61">
        <v>12</v>
      </c>
      <c r="J71" s="59">
        <v>8</v>
      </c>
      <c r="K71" s="60">
        <v>66.666666666666657</v>
      </c>
      <c r="L71" s="58">
        <v>20</v>
      </c>
      <c r="M71" s="59">
        <v>0</v>
      </c>
      <c r="N71" s="62">
        <v>0</v>
      </c>
      <c r="O71" s="58">
        <v>20</v>
      </c>
      <c r="P71" s="59">
        <v>0</v>
      </c>
      <c r="Q71" s="63">
        <v>0</v>
      </c>
      <c r="R71" s="25">
        <v>14</v>
      </c>
      <c r="S71" s="59">
        <v>0</v>
      </c>
      <c r="T71" s="21">
        <v>0</v>
      </c>
      <c r="U71" s="61">
        <v>6</v>
      </c>
      <c r="V71" s="63">
        <v>30</v>
      </c>
      <c r="W71" s="61">
        <v>0</v>
      </c>
      <c r="X71" s="62">
        <v>0</v>
      </c>
    </row>
    <row r="72" spans="2:24" ht="15" customHeight="1" x14ac:dyDescent="0.25">
      <c r="B72" s="5" t="s">
        <v>198</v>
      </c>
      <c r="C72" s="7" t="s">
        <v>281</v>
      </c>
      <c r="D72" s="7" t="s">
        <v>283</v>
      </c>
      <c r="E72" s="44">
        <v>211303</v>
      </c>
      <c r="F72" s="58">
        <v>126</v>
      </c>
      <c r="G72" s="59">
        <v>11</v>
      </c>
      <c r="H72" s="60">
        <v>8.7301587301587293</v>
      </c>
      <c r="I72" s="61">
        <v>115</v>
      </c>
      <c r="J72" s="59">
        <v>28</v>
      </c>
      <c r="K72" s="60">
        <v>24.347826086956523</v>
      </c>
      <c r="L72" s="58">
        <v>126</v>
      </c>
      <c r="M72" s="59">
        <v>1</v>
      </c>
      <c r="N72" s="62">
        <v>0.79365079365079361</v>
      </c>
      <c r="O72" s="58">
        <v>126</v>
      </c>
      <c r="P72" s="59">
        <v>2</v>
      </c>
      <c r="Q72" s="63">
        <v>1.5873015873015872</v>
      </c>
      <c r="R72" s="25">
        <v>124</v>
      </c>
      <c r="S72" s="59">
        <v>3</v>
      </c>
      <c r="T72" s="21">
        <v>2.4193548387096775</v>
      </c>
      <c r="U72" s="61">
        <v>0</v>
      </c>
      <c r="V72" s="63">
        <v>0</v>
      </c>
      <c r="W72" s="61">
        <v>0</v>
      </c>
      <c r="X72" s="62">
        <v>0</v>
      </c>
    </row>
    <row r="73" spans="2:24" ht="15" customHeight="1" x14ac:dyDescent="0.25">
      <c r="B73" s="5" t="s">
        <v>198</v>
      </c>
      <c r="C73" s="7" t="s">
        <v>281</v>
      </c>
      <c r="D73" s="7" t="s">
        <v>284</v>
      </c>
      <c r="E73" s="44">
        <v>211304</v>
      </c>
      <c r="F73" s="17">
        <v>23</v>
      </c>
      <c r="G73" s="25">
        <v>3</v>
      </c>
      <c r="H73" s="21">
        <v>13.043478260869565</v>
      </c>
      <c r="I73" s="37">
        <v>20</v>
      </c>
      <c r="J73" s="25">
        <v>6</v>
      </c>
      <c r="K73" s="21">
        <v>30</v>
      </c>
      <c r="L73" s="17">
        <v>23</v>
      </c>
      <c r="M73" s="25">
        <v>0</v>
      </c>
      <c r="N73" s="30">
        <v>0</v>
      </c>
      <c r="O73" s="17">
        <v>23</v>
      </c>
      <c r="P73" s="25">
        <v>1</v>
      </c>
      <c r="Q73" s="31">
        <v>4.3478260869565215</v>
      </c>
      <c r="R73" s="25">
        <v>22</v>
      </c>
      <c r="S73" s="25">
        <v>1</v>
      </c>
      <c r="T73" s="21">
        <v>4.5454545454545459</v>
      </c>
      <c r="U73" s="37">
        <v>0</v>
      </c>
      <c r="V73" s="31">
        <v>0</v>
      </c>
      <c r="W73" s="37">
        <v>0</v>
      </c>
      <c r="X73" s="30">
        <v>0</v>
      </c>
    </row>
    <row r="74" spans="2:24" ht="15" customHeight="1" x14ac:dyDescent="0.25">
      <c r="B74" s="5" t="s">
        <v>198</v>
      </c>
      <c r="C74" s="7" t="s">
        <v>281</v>
      </c>
      <c r="D74" s="7" t="s">
        <v>285</v>
      </c>
      <c r="E74" s="44">
        <v>211305</v>
      </c>
      <c r="F74" s="17">
        <v>43</v>
      </c>
      <c r="G74" s="25">
        <v>5</v>
      </c>
      <c r="H74" s="21">
        <v>11.627906976744185</v>
      </c>
      <c r="I74" s="37">
        <v>38</v>
      </c>
      <c r="J74" s="25">
        <v>16</v>
      </c>
      <c r="K74" s="21">
        <v>42.105263157894733</v>
      </c>
      <c r="L74" s="17">
        <v>43</v>
      </c>
      <c r="M74" s="25">
        <v>2</v>
      </c>
      <c r="N74" s="30">
        <v>4.6511627906976747</v>
      </c>
      <c r="O74" s="17">
        <v>43</v>
      </c>
      <c r="P74" s="25">
        <v>1</v>
      </c>
      <c r="Q74" s="31">
        <v>2.3255813953488373</v>
      </c>
      <c r="R74" s="25">
        <v>41</v>
      </c>
      <c r="S74" s="25">
        <v>5</v>
      </c>
      <c r="T74" s="21">
        <v>12.195121951219512</v>
      </c>
      <c r="U74" s="37">
        <v>1</v>
      </c>
      <c r="V74" s="31">
        <v>2.3255813953488373</v>
      </c>
      <c r="W74" s="37">
        <v>0</v>
      </c>
      <c r="X74" s="30">
        <v>0</v>
      </c>
    </row>
    <row r="75" spans="2:24" ht="15" customHeight="1" x14ac:dyDescent="0.25">
      <c r="B75" s="5" t="s">
        <v>198</v>
      </c>
      <c r="C75" s="7" t="s">
        <v>281</v>
      </c>
      <c r="D75" s="7" t="s">
        <v>286</v>
      </c>
      <c r="E75" s="44">
        <v>211306</v>
      </c>
      <c r="F75" s="17">
        <v>16</v>
      </c>
      <c r="G75" s="25">
        <v>4</v>
      </c>
      <c r="H75" s="21">
        <v>25</v>
      </c>
      <c r="I75" s="37">
        <v>12</v>
      </c>
      <c r="J75" s="25">
        <v>4</v>
      </c>
      <c r="K75" s="21">
        <v>33.333333333333329</v>
      </c>
      <c r="L75" s="17">
        <v>16</v>
      </c>
      <c r="M75" s="25">
        <v>1</v>
      </c>
      <c r="N75" s="30">
        <v>6.25</v>
      </c>
      <c r="O75" s="17">
        <v>16</v>
      </c>
      <c r="P75" s="25">
        <v>0</v>
      </c>
      <c r="Q75" s="31">
        <v>0</v>
      </c>
      <c r="R75" s="25">
        <v>16</v>
      </c>
      <c r="S75" s="25">
        <v>2</v>
      </c>
      <c r="T75" s="21">
        <v>12.5</v>
      </c>
      <c r="U75" s="37">
        <v>0</v>
      </c>
      <c r="V75" s="31">
        <v>0</v>
      </c>
      <c r="W75" s="37">
        <v>0</v>
      </c>
      <c r="X75" s="30">
        <v>0</v>
      </c>
    </row>
    <row r="76" spans="2:24" ht="15" customHeight="1" x14ac:dyDescent="0.25">
      <c r="B76" s="5" t="s">
        <v>198</v>
      </c>
      <c r="C76" s="7" t="s">
        <v>281</v>
      </c>
      <c r="D76" s="7" t="s">
        <v>287</v>
      </c>
      <c r="E76" s="44">
        <v>211307</v>
      </c>
      <c r="F76" s="17">
        <v>18</v>
      </c>
      <c r="G76" s="25">
        <v>2</v>
      </c>
      <c r="H76" s="21">
        <v>11.111111111111111</v>
      </c>
      <c r="I76" s="37">
        <v>16</v>
      </c>
      <c r="J76" s="25">
        <v>7</v>
      </c>
      <c r="K76" s="21">
        <v>43.75</v>
      </c>
      <c r="L76" s="17">
        <v>18</v>
      </c>
      <c r="M76" s="25">
        <v>1</v>
      </c>
      <c r="N76" s="30">
        <v>5.5555555555555554</v>
      </c>
      <c r="O76" s="17">
        <v>18</v>
      </c>
      <c r="P76" s="25">
        <v>2</v>
      </c>
      <c r="Q76" s="31">
        <v>11.111111111111111</v>
      </c>
      <c r="R76" s="25">
        <v>15</v>
      </c>
      <c r="S76" s="25">
        <v>1</v>
      </c>
      <c r="T76" s="21">
        <v>6.666666666666667</v>
      </c>
      <c r="U76" s="37">
        <v>0</v>
      </c>
      <c r="V76" s="31">
        <v>0</v>
      </c>
      <c r="W76" s="37">
        <v>1</v>
      </c>
      <c r="X76" s="30">
        <v>5.5555555555555554</v>
      </c>
    </row>
    <row r="77" spans="2:24" ht="15" customHeight="1" x14ac:dyDescent="0.25">
      <c r="B77" s="5" t="s">
        <v>198</v>
      </c>
      <c r="C77" s="7" t="s">
        <v>281</v>
      </c>
      <c r="D77" s="7" t="s">
        <v>281</v>
      </c>
      <c r="E77" s="44">
        <v>211301</v>
      </c>
      <c r="F77" s="17">
        <v>825</v>
      </c>
      <c r="G77" s="25">
        <v>71</v>
      </c>
      <c r="H77" s="21">
        <v>8.6060606060606055</v>
      </c>
      <c r="I77" s="37">
        <v>754</v>
      </c>
      <c r="J77" s="25">
        <v>228</v>
      </c>
      <c r="K77" s="21">
        <v>30.238726790450926</v>
      </c>
      <c r="L77" s="17">
        <v>825</v>
      </c>
      <c r="M77" s="25">
        <v>23</v>
      </c>
      <c r="N77" s="30">
        <v>2.7878787878787876</v>
      </c>
      <c r="O77" s="17">
        <v>825</v>
      </c>
      <c r="P77" s="25">
        <v>18</v>
      </c>
      <c r="Q77" s="31">
        <v>2.1818181818181821</v>
      </c>
      <c r="R77" s="25">
        <v>768</v>
      </c>
      <c r="S77" s="25">
        <v>52</v>
      </c>
      <c r="T77" s="21">
        <v>6.770833333333333</v>
      </c>
      <c r="U77" s="37">
        <v>34</v>
      </c>
      <c r="V77" s="31">
        <v>4.1212121212121211</v>
      </c>
      <c r="W77" s="37">
        <v>5</v>
      </c>
      <c r="X77" s="30">
        <v>0.60606060606060608</v>
      </c>
    </row>
    <row r="78" spans="2:24" ht="15" customHeight="1" x14ac:dyDescent="0.25">
      <c r="B78" s="5" t="s">
        <v>200</v>
      </c>
      <c r="C78" s="7" t="s">
        <v>200</v>
      </c>
      <c r="D78" s="7" t="s">
        <v>288</v>
      </c>
      <c r="E78" s="44">
        <v>230111</v>
      </c>
      <c r="F78" s="17">
        <v>421</v>
      </c>
      <c r="G78" s="25">
        <v>14</v>
      </c>
      <c r="H78" s="21">
        <v>3.3254156769596199</v>
      </c>
      <c r="I78" s="37">
        <v>407</v>
      </c>
      <c r="J78" s="25">
        <v>82</v>
      </c>
      <c r="K78" s="21">
        <v>20.147420147420149</v>
      </c>
      <c r="L78" s="17">
        <v>421</v>
      </c>
      <c r="M78" s="25">
        <v>2</v>
      </c>
      <c r="N78" s="30">
        <v>0.47505938242280288</v>
      </c>
      <c r="O78" s="17">
        <v>421</v>
      </c>
      <c r="P78" s="25">
        <v>2</v>
      </c>
      <c r="Q78" s="31">
        <v>0.47505938242280288</v>
      </c>
      <c r="R78" s="25">
        <v>354</v>
      </c>
      <c r="S78" s="25">
        <v>14</v>
      </c>
      <c r="T78" s="21">
        <v>3.9548022598870061</v>
      </c>
      <c r="U78" s="37">
        <v>49</v>
      </c>
      <c r="V78" s="31">
        <v>11.63895486935867</v>
      </c>
      <c r="W78" s="37">
        <v>16</v>
      </c>
      <c r="X78" s="30">
        <v>3.800475059382423</v>
      </c>
    </row>
    <row r="79" spans="2:24" ht="15" customHeight="1" x14ac:dyDescent="0.25">
      <c r="B79" s="5" t="s">
        <v>200</v>
      </c>
      <c r="C79" s="7" t="s">
        <v>200</v>
      </c>
      <c r="D79" s="7" t="s">
        <v>289</v>
      </c>
      <c r="E79" s="44">
        <v>230107</v>
      </c>
      <c r="F79" s="17">
        <v>44</v>
      </c>
      <c r="G79" s="25">
        <v>6</v>
      </c>
      <c r="H79" s="21">
        <v>13.636363636363635</v>
      </c>
      <c r="I79" s="37">
        <v>38</v>
      </c>
      <c r="J79" s="25">
        <v>12</v>
      </c>
      <c r="K79" s="21">
        <v>31.578947368421051</v>
      </c>
      <c r="L79" s="17">
        <v>44</v>
      </c>
      <c r="M79" s="25">
        <v>3</v>
      </c>
      <c r="N79" s="30">
        <v>6.8181818181818175</v>
      </c>
      <c r="O79" s="17">
        <v>44</v>
      </c>
      <c r="P79" s="25">
        <v>2</v>
      </c>
      <c r="Q79" s="31">
        <v>4.5454545454545459</v>
      </c>
      <c r="R79" s="25">
        <v>41</v>
      </c>
      <c r="S79" s="25">
        <v>5</v>
      </c>
      <c r="T79" s="21">
        <v>12.195121951219512</v>
      </c>
      <c r="U79" s="37">
        <v>1</v>
      </c>
      <c r="V79" s="31">
        <v>2.2727272727272729</v>
      </c>
      <c r="W79" s="37">
        <v>0</v>
      </c>
      <c r="X79" s="30">
        <v>0</v>
      </c>
    </row>
    <row r="80" spans="2:24" ht="15" customHeight="1" x14ac:dyDescent="0.25">
      <c r="B80" s="5" t="s">
        <v>200</v>
      </c>
      <c r="C80" s="7" t="s">
        <v>200</v>
      </c>
      <c r="D80" s="7" t="s">
        <v>200</v>
      </c>
      <c r="E80" s="44">
        <v>230101</v>
      </c>
      <c r="F80" s="17">
        <v>1399</v>
      </c>
      <c r="G80" s="25">
        <v>64</v>
      </c>
      <c r="H80" s="21">
        <v>4.5746962115796999</v>
      </c>
      <c r="I80" s="37">
        <v>1335</v>
      </c>
      <c r="J80" s="25">
        <v>173</v>
      </c>
      <c r="K80" s="21">
        <v>12.95880149812734</v>
      </c>
      <c r="L80" s="17">
        <v>1399</v>
      </c>
      <c r="M80" s="25">
        <v>31</v>
      </c>
      <c r="N80" s="30">
        <v>2.2158684774839168</v>
      </c>
      <c r="O80" s="17">
        <v>1399</v>
      </c>
      <c r="P80" s="25">
        <v>24</v>
      </c>
      <c r="Q80" s="31">
        <v>1.7155110793423873</v>
      </c>
      <c r="R80" s="25">
        <v>1179</v>
      </c>
      <c r="S80" s="25">
        <v>51</v>
      </c>
      <c r="T80" s="21">
        <v>4.3256997455470731</v>
      </c>
      <c r="U80" s="37">
        <v>152</v>
      </c>
      <c r="V80" s="31">
        <v>10.864903502501786</v>
      </c>
      <c r="W80" s="37">
        <v>44</v>
      </c>
      <c r="X80" s="30">
        <v>3.1451036454610435</v>
      </c>
    </row>
    <row r="81" spans="2:24" ht="15" customHeight="1" x14ac:dyDescent="0.25">
      <c r="B81" s="5" t="s">
        <v>200</v>
      </c>
      <c r="C81" s="7" t="s">
        <v>290</v>
      </c>
      <c r="D81" s="7" t="s">
        <v>290</v>
      </c>
      <c r="E81" s="44">
        <v>230401</v>
      </c>
      <c r="F81" s="17">
        <v>92</v>
      </c>
      <c r="G81" s="25">
        <v>8</v>
      </c>
      <c r="H81" s="21">
        <v>8.695652173913043</v>
      </c>
      <c r="I81" s="37">
        <v>84</v>
      </c>
      <c r="J81" s="25">
        <v>34</v>
      </c>
      <c r="K81" s="21">
        <v>40.476190476190474</v>
      </c>
      <c r="L81" s="17">
        <v>92</v>
      </c>
      <c r="M81" s="25">
        <v>2</v>
      </c>
      <c r="N81" s="30">
        <v>2.1739130434782608</v>
      </c>
      <c r="O81" s="17">
        <v>92</v>
      </c>
      <c r="P81" s="25">
        <v>0</v>
      </c>
      <c r="Q81" s="31">
        <v>0</v>
      </c>
      <c r="R81" s="25">
        <v>85</v>
      </c>
      <c r="S81" s="25">
        <v>8</v>
      </c>
      <c r="T81" s="21">
        <v>9.4117647058823533</v>
      </c>
      <c r="U81" s="37">
        <v>4</v>
      </c>
      <c r="V81" s="31">
        <v>4.3478260869565215</v>
      </c>
      <c r="W81" s="37">
        <v>3</v>
      </c>
      <c r="X81" s="30">
        <v>3.2608695652173911</v>
      </c>
    </row>
    <row r="82" spans="2:24" ht="15" customHeight="1" x14ac:dyDescent="0.25">
      <c r="B82" s="5" t="s">
        <v>201</v>
      </c>
      <c r="C82" s="7" t="s">
        <v>201</v>
      </c>
      <c r="D82" s="7" t="s">
        <v>291</v>
      </c>
      <c r="E82" s="44">
        <v>240104</v>
      </c>
      <c r="F82" s="17">
        <v>360</v>
      </c>
      <c r="G82" s="25">
        <v>36</v>
      </c>
      <c r="H82" s="21">
        <v>10</v>
      </c>
      <c r="I82" s="37">
        <v>324</v>
      </c>
      <c r="J82" s="25">
        <v>81</v>
      </c>
      <c r="K82" s="21">
        <v>25</v>
      </c>
      <c r="L82" s="17">
        <v>360</v>
      </c>
      <c r="M82" s="25">
        <v>18</v>
      </c>
      <c r="N82" s="30">
        <v>5</v>
      </c>
      <c r="O82" s="17">
        <v>360</v>
      </c>
      <c r="P82" s="25">
        <v>9</v>
      </c>
      <c r="Q82" s="31">
        <v>2.5</v>
      </c>
      <c r="R82" s="25">
        <v>333</v>
      </c>
      <c r="S82" s="25">
        <v>30</v>
      </c>
      <c r="T82" s="21">
        <v>9.0090090090090094</v>
      </c>
      <c r="U82" s="37">
        <v>7</v>
      </c>
      <c r="V82" s="31">
        <v>1.9444444444444444</v>
      </c>
      <c r="W82" s="37">
        <v>11</v>
      </c>
      <c r="X82" s="30">
        <v>3.0555555555555554</v>
      </c>
    </row>
    <row r="83" spans="2:24" ht="15" customHeight="1" x14ac:dyDescent="0.25">
      <c r="B83" s="5" t="s">
        <v>201</v>
      </c>
      <c r="C83" s="7" t="s">
        <v>201</v>
      </c>
      <c r="D83" s="7" t="s">
        <v>292</v>
      </c>
      <c r="E83" s="44">
        <v>240105</v>
      </c>
      <c r="F83" s="17">
        <v>353</v>
      </c>
      <c r="G83" s="25">
        <v>24</v>
      </c>
      <c r="H83" s="21">
        <v>6.7988668555240803</v>
      </c>
      <c r="I83" s="37">
        <v>329</v>
      </c>
      <c r="J83" s="25">
        <v>82</v>
      </c>
      <c r="K83" s="21">
        <v>24.924012158054712</v>
      </c>
      <c r="L83" s="17">
        <v>353</v>
      </c>
      <c r="M83" s="25">
        <v>11</v>
      </c>
      <c r="N83" s="30">
        <v>3.1161473087818696</v>
      </c>
      <c r="O83" s="17">
        <v>353</v>
      </c>
      <c r="P83" s="25">
        <v>12</v>
      </c>
      <c r="Q83" s="31">
        <v>3.3994334277620402</v>
      </c>
      <c r="R83" s="25">
        <v>312</v>
      </c>
      <c r="S83" s="25">
        <v>27</v>
      </c>
      <c r="T83" s="21">
        <v>8.6538461538461533</v>
      </c>
      <c r="U83" s="37">
        <v>24</v>
      </c>
      <c r="V83" s="31">
        <v>6.7988668555240803</v>
      </c>
      <c r="W83" s="37">
        <v>5</v>
      </c>
      <c r="X83" s="30">
        <v>1.41643059490085</v>
      </c>
    </row>
    <row r="84" spans="2:24" ht="15" customHeight="1" x14ac:dyDescent="0.25">
      <c r="B84" s="5" t="s">
        <v>201</v>
      </c>
      <c r="C84" s="7" t="s">
        <v>293</v>
      </c>
      <c r="D84" s="7" t="s">
        <v>294</v>
      </c>
      <c r="E84" s="44">
        <v>240302</v>
      </c>
      <c r="F84" s="17">
        <v>1053</v>
      </c>
      <c r="G84" s="25">
        <v>143</v>
      </c>
      <c r="H84" s="21">
        <v>13.580246913580247</v>
      </c>
      <c r="I84" s="37">
        <v>910</v>
      </c>
      <c r="J84" s="25">
        <v>305</v>
      </c>
      <c r="K84" s="21">
        <v>33.516483516483511</v>
      </c>
      <c r="L84" s="17">
        <v>1053</v>
      </c>
      <c r="M84" s="25">
        <v>35</v>
      </c>
      <c r="N84" s="30">
        <v>3.3238366571699909</v>
      </c>
      <c r="O84" s="17">
        <v>1053</v>
      </c>
      <c r="P84" s="25">
        <v>20</v>
      </c>
      <c r="Q84" s="31">
        <v>1.899335232668566</v>
      </c>
      <c r="R84" s="25">
        <v>959</v>
      </c>
      <c r="S84" s="25">
        <v>84</v>
      </c>
      <c r="T84" s="21">
        <v>8.7591240875912408</v>
      </c>
      <c r="U84" s="37">
        <v>59</v>
      </c>
      <c r="V84" s="31">
        <v>5.6030389363722701</v>
      </c>
      <c r="W84" s="37">
        <v>15</v>
      </c>
      <c r="X84" s="30">
        <v>1.4245014245014245</v>
      </c>
    </row>
    <row r="85" spans="2:24" ht="15" customHeight="1" x14ac:dyDescent="0.25">
      <c r="B85" s="5" t="s">
        <v>201</v>
      </c>
      <c r="C85" s="7" t="s">
        <v>293</v>
      </c>
      <c r="D85" s="7" t="s">
        <v>295</v>
      </c>
      <c r="E85" s="44">
        <v>240303</v>
      </c>
      <c r="F85" s="17">
        <v>249</v>
      </c>
      <c r="G85" s="25">
        <v>27</v>
      </c>
      <c r="H85" s="21">
        <v>10.843373493975903</v>
      </c>
      <c r="I85" s="37">
        <v>222</v>
      </c>
      <c r="J85" s="25">
        <v>78</v>
      </c>
      <c r="K85" s="21">
        <v>35.135135135135137</v>
      </c>
      <c r="L85" s="17">
        <v>249</v>
      </c>
      <c r="M85" s="25">
        <v>6</v>
      </c>
      <c r="N85" s="30">
        <v>2.4096385542168677</v>
      </c>
      <c r="O85" s="17">
        <v>249</v>
      </c>
      <c r="P85" s="25">
        <v>2</v>
      </c>
      <c r="Q85" s="31">
        <v>0.80321285140562237</v>
      </c>
      <c r="R85" s="25">
        <v>239</v>
      </c>
      <c r="S85" s="25">
        <v>27</v>
      </c>
      <c r="T85" s="21">
        <v>11.297071129707113</v>
      </c>
      <c r="U85" s="37">
        <v>6</v>
      </c>
      <c r="V85" s="31">
        <v>2.4096385542168677</v>
      </c>
      <c r="W85" s="37">
        <v>2</v>
      </c>
      <c r="X85" s="30">
        <v>0.80321285140562237</v>
      </c>
    </row>
    <row r="86" spans="2:24" ht="15" customHeight="1" x14ac:dyDescent="0.25">
      <c r="B86" s="5" t="s">
        <v>201</v>
      </c>
      <c r="C86" s="7" t="s">
        <v>293</v>
      </c>
      <c r="D86" s="7" t="s">
        <v>296</v>
      </c>
      <c r="E86" s="44">
        <v>240304</v>
      </c>
      <c r="F86" s="58">
        <v>314</v>
      </c>
      <c r="G86" s="59">
        <v>47</v>
      </c>
      <c r="H86" s="60">
        <v>14.968152866242038</v>
      </c>
      <c r="I86" s="61">
        <v>267</v>
      </c>
      <c r="J86" s="59">
        <v>96</v>
      </c>
      <c r="K86" s="60">
        <v>35.955056179775283</v>
      </c>
      <c r="L86" s="58">
        <v>314</v>
      </c>
      <c r="M86" s="59">
        <v>13</v>
      </c>
      <c r="N86" s="62">
        <v>4.1401273885350314</v>
      </c>
      <c r="O86" s="58">
        <v>314</v>
      </c>
      <c r="P86" s="59">
        <v>6</v>
      </c>
      <c r="Q86" s="63">
        <v>1.910828025477707</v>
      </c>
      <c r="R86" s="25">
        <v>287</v>
      </c>
      <c r="S86" s="59">
        <v>17</v>
      </c>
      <c r="T86" s="21">
        <v>5.9233449477351918</v>
      </c>
      <c r="U86" s="61">
        <v>16</v>
      </c>
      <c r="V86" s="63">
        <v>5.095541401273886</v>
      </c>
      <c r="W86" s="61">
        <v>5</v>
      </c>
      <c r="X86" s="62">
        <v>1.5923566878980893</v>
      </c>
    </row>
    <row r="87" spans="2:24" ht="15" customHeight="1" x14ac:dyDescent="0.25">
      <c r="B87" s="5" t="s">
        <v>201</v>
      </c>
      <c r="C87" s="7" t="s">
        <v>293</v>
      </c>
      <c r="D87" s="7" t="s">
        <v>293</v>
      </c>
      <c r="E87" s="44">
        <v>240301</v>
      </c>
      <c r="F87" s="17">
        <v>1078</v>
      </c>
      <c r="G87" s="25">
        <v>124</v>
      </c>
      <c r="H87" s="21">
        <v>11.502782931354361</v>
      </c>
      <c r="I87" s="37">
        <v>954</v>
      </c>
      <c r="J87" s="25">
        <v>321</v>
      </c>
      <c r="K87" s="21">
        <v>33.647798742138363</v>
      </c>
      <c r="L87" s="17">
        <v>1078</v>
      </c>
      <c r="M87" s="25">
        <v>35</v>
      </c>
      <c r="N87" s="30">
        <v>3.2467532467532463</v>
      </c>
      <c r="O87" s="17">
        <v>1078</v>
      </c>
      <c r="P87" s="25">
        <v>16</v>
      </c>
      <c r="Q87" s="31">
        <v>1.4842300556586272</v>
      </c>
      <c r="R87" s="25">
        <v>977</v>
      </c>
      <c r="S87" s="25">
        <v>70</v>
      </c>
      <c r="T87" s="21">
        <v>7.1647901740020474</v>
      </c>
      <c r="U87" s="37">
        <v>73</v>
      </c>
      <c r="V87" s="31">
        <v>6.7717996289424862</v>
      </c>
      <c r="W87" s="37">
        <v>12</v>
      </c>
      <c r="X87" s="30">
        <v>1.1131725417439702</v>
      </c>
    </row>
    <row r="88" spans="2:24" ht="15" customHeight="1" x14ac:dyDescent="0.25">
      <c r="B88" s="5" t="s">
        <v>202</v>
      </c>
      <c r="C88" s="7" t="s">
        <v>297</v>
      </c>
      <c r="D88" s="7" t="s">
        <v>298</v>
      </c>
      <c r="E88" s="44">
        <v>250204</v>
      </c>
      <c r="F88" s="17">
        <v>262</v>
      </c>
      <c r="G88" s="25">
        <v>102</v>
      </c>
      <c r="H88" s="21">
        <v>38.931297709923662</v>
      </c>
      <c r="I88" s="37">
        <v>160</v>
      </c>
      <c r="J88" s="25">
        <v>99</v>
      </c>
      <c r="K88" s="21">
        <v>61.875</v>
      </c>
      <c r="L88" s="17">
        <v>262</v>
      </c>
      <c r="M88" s="25">
        <v>46</v>
      </c>
      <c r="N88" s="30">
        <v>17.557251908396946</v>
      </c>
      <c r="O88" s="17">
        <v>262</v>
      </c>
      <c r="P88" s="25">
        <v>19</v>
      </c>
      <c r="Q88" s="31">
        <v>7.2519083969465647</v>
      </c>
      <c r="R88" s="25">
        <v>222</v>
      </c>
      <c r="S88" s="25">
        <v>29</v>
      </c>
      <c r="T88" s="21">
        <v>13.063063063063062</v>
      </c>
      <c r="U88" s="37">
        <v>16</v>
      </c>
      <c r="V88" s="31">
        <v>6.1068702290076331</v>
      </c>
      <c r="W88" s="37">
        <v>5</v>
      </c>
      <c r="X88" s="30">
        <v>1.9083969465648856</v>
      </c>
    </row>
    <row r="89" spans="2:24" ht="15" customHeight="1" x14ac:dyDescent="0.25">
      <c r="B89" s="5" t="s">
        <v>202</v>
      </c>
      <c r="C89" s="7" t="s">
        <v>299</v>
      </c>
      <c r="D89" s="7" t="s">
        <v>300</v>
      </c>
      <c r="E89" s="44">
        <v>250101</v>
      </c>
      <c r="F89" s="17">
        <v>7511</v>
      </c>
      <c r="G89" s="25">
        <v>1354</v>
      </c>
      <c r="H89" s="21">
        <v>18.026893888962856</v>
      </c>
      <c r="I89" s="37">
        <v>6157</v>
      </c>
      <c r="J89" s="25">
        <v>2323</v>
      </c>
      <c r="K89" s="21">
        <v>37.729413675491315</v>
      </c>
      <c r="L89" s="17">
        <v>7511</v>
      </c>
      <c r="M89" s="25">
        <v>610</v>
      </c>
      <c r="N89" s="30">
        <v>8.1214219145253637</v>
      </c>
      <c r="O89" s="17">
        <v>7511</v>
      </c>
      <c r="P89" s="25">
        <v>252</v>
      </c>
      <c r="Q89" s="31">
        <v>3.3550792171481825</v>
      </c>
      <c r="R89" s="25">
        <v>6904</v>
      </c>
      <c r="S89" s="25">
        <v>906</v>
      </c>
      <c r="T89" s="21">
        <v>13.122827346465819</v>
      </c>
      <c r="U89" s="37">
        <v>277</v>
      </c>
      <c r="V89" s="31">
        <v>3.6879243775795505</v>
      </c>
      <c r="W89" s="37">
        <v>78</v>
      </c>
      <c r="X89" s="30">
        <v>1.0384769005458661</v>
      </c>
    </row>
    <row r="90" spans="2:24" ht="15" customHeight="1" x14ac:dyDescent="0.25">
      <c r="B90" s="5" t="s">
        <v>202</v>
      </c>
      <c r="C90" s="7" t="s">
        <v>299</v>
      </c>
      <c r="D90" s="7" t="s">
        <v>301</v>
      </c>
      <c r="E90" s="44">
        <v>250104</v>
      </c>
      <c r="F90" s="17">
        <v>1314</v>
      </c>
      <c r="G90" s="25">
        <v>462</v>
      </c>
      <c r="H90" s="21">
        <v>35.159817351598171</v>
      </c>
      <c r="I90" s="37">
        <v>852</v>
      </c>
      <c r="J90" s="25">
        <v>444</v>
      </c>
      <c r="K90" s="21">
        <v>52.112676056338024</v>
      </c>
      <c r="L90" s="17">
        <v>1314</v>
      </c>
      <c r="M90" s="25">
        <v>113</v>
      </c>
      <c r="N90" s="30">
        <v>8.5996955859969546</v>
      </c>
      <c r="O90" s="17">
        <v>1314</v>
      </c>
      <c r="P90" s="25">
        <v>40</v>
      </c>
      <c r="Q90" s="31">
        <v>3.0441400304414001</v>
      </c>
      <c r="R90" s="25">
        <v>1174</v>
      </c>
      <c r="S90" s="25">
        <v>89</v>
      </c>
      <c r="T90" s="21">
        <v>7.5809199318568998</v>
      </c>
      <c r="U90" s="37">
        <v>68</v>
      </c>
      <c r="V90" s="31">
        <v>5.1750380517503807</v>
      </c>
      <c r="W90" s="37">
        <v>32</v>
      </c>
      <c r="X90" s="30">
        <v>2.4353120243531201</v>
      </c>
    </row>
    <row r="91" spans="2:24" ht="15" customHeight="1" thickBot="1" x14ac:dyDescent="0.3">
      <c r="B91" s="5" t="s">
        <v>202</v>
      </c>
      <c r="C91" s="7" t="s">
        <v>302</v>
      </c>
      <c r="D91" s="7" t="s">
        <v>302</v>
      </c>
      <c r="E91" s="44">
        <v>250401</v>
      </c>
      <c r="F91" s="17">
        <v>328</v>
      </c>
      <c r="G91" s="25">
        <v>149</v>
      </c>
      <c r="H91" s="21">
        <v>45.426829268292686</v>
      </c>
      <c r="I91" s="37">
        <v>179</v>
      </c>
      <c r="J91" s="25">
        <v>94</v>
      </c>
      <c r="K91" s="21">
        <v>52.513966480446925</v>
      </c>
      <c r="L91" s="17">
        <v>328</v>
      </c>
      <c r="M91" s="25">
        <v>38</v>
      </c>
      <c r="N91" s="30">
        <v>11.585365853658537</v>
      </c>
      <c r="O91" s="17">
        <v>328</v>
      </c>
      <c r="P91" s="25">
        <v>5</v>
      </c>
      <c r="Q91" s="31">
        <v>1.524390243902439</v>
      </c>
      <c r="R91" s="25">
        <v>281</v>
      </c>
      <c r="S91" s="25">
        <v>20</v>
      </c>
      <c r="T91" s="21">
        <v>7.1174377224199299</v>
      </c>
      <c r="U91" s="37">
        <v>33</v>
      </c>
      <c r="V91" s="31">
        <v>10.060975609756099</v>
      </c>
      <c r="W91" s="37">
        <v>9</v>
      </c>
      <c r="X91" s="30">
        <v>2.7439024390243905</v>
      </c>
    </row>
    <row r="92" spans="2:24" ht="15" customHeight="1" thickBot="1" x14ac:dyDescent="0.3">
      <c r="B92" s="98" t="s">
        <v>44</v>
      </c>
      <c r="C92" s="99"/>
      <c r="D92" s="99"/>
      <c r="E92" s="100"/>
      <c r="F92" s="19">
        <f>SUM(F8:F91)</f>
        <v>61301</v>
      </c>
      <c r="G92" s="27">
        <f>SUM(G8:G91)</f>
        <v>12606</v>
      </c>
      <c r="H92" s="23">
        <f>G92/F92*100</f>
        <v>20.564101727541146</v>
      </c>
      <c r="I92" s="39">
        <f>SUM(I8:I91)</f>
        <v>48695</v>
      </c>
      <c r="J92" s="27">
        <f>SUM(J8:J91)</f>
        <v>18989</v>
      </c>
      <c r="K92" s="23">
        <f>J92/I92*100</f>
        <v>38.995790122189142</v>
      </c>
      <c r="L92" s="19">
        <f>SUM(L8:L91)</f>
        <v>61301</v>
      </c>
      <c r="M92" s="27">
        <f>SUM(M8:M91)</f>
        <v>3773</v>
      </c>
      <c r="N92" s="34">
        <f>M92/L92*100</f>
        <v>6.1548751243862254</v>
      </c>
      <c r="O92" s="19">
        <f>SUM(O8:O91)</f>
        <v>61301</v>
      </c>
      <c r="P92" s="27">
        <f>SUM(P8:P91)</f>
        <v>1563</v>
      </c>
      <c r="Q92" s="35">
        <f>P92/O92*100</f>
        <v>2.5497137077698571</v>
      </c>
      <c r="R92" s="70">
        <f>SUM(R8:R91)</f>
        <v>55326</v>
      </c>
      <c r="S92" s="19">
        <f>SUM(S8:S91)</f>
        <v>4758</v>
      </c>
      <c r="T92" s="35">
        <f>S92/R92*100</f>
        <v>8.5999349311354507</v>
      </c>
      <c r="U92" s="39">
        <f>SUM(U8:U91)</f>
        <v>3476</v>
      </c>
      <c r="V92" s="35">
        <f>U92/O92*100</f>
        <v>5.6703805810671932</v>
      </c>
      <c r="W92" s="39">
        <f>SUM(W8:W91)</f>
        <v>936</v>
      </c>
      <c r="X92" s="34">
        <f>W92/O92*100</f>
        <v>1.5268918940963443</v>
      </c>
    </row>
    <row r="93" spans="2:24" ht="15" customHeight="1" x14ac:dyDescent="0.25">
      <c r="B93" s="2" t="str">
        <f>_xlfn.CONCAT("Fuente: Sistema de Información SIEN - HIS, ",RIGHT(INICIO!C8,4),".")</f>
        <v>Fuente: Sistema de Información SIEN - HIS, 2025.</v>
      </c>
      <c r="C93" s="2"/>
      <c r="D93" s="2"/>
      <c r="E93" s="2"/>
      <c r="F93" s="2"/>
    </row>
    <row r="94" spans="2:24" ht="15" customHeight="1" x14ac:dyDescent="0.25">
      <c r="B94" s="2" t="s">
        <v>69</v>
      </c>
      <c r="C94" s="2"/>
      <c r="D94" s="2"/>
      <c r="E94" s="2"/>
      <c r="F94" s="2"/>
    </row>
    <row r="95" spans="2:24" ht="15" customHeight="1" x14ac:dyDescent="0.25">
      <c r="B95" s="2" t="s">
        <v>16</v>
      </c>
      <c r="C95" s="2"/>
      <c r="D95" s="2"/>
      <c r="E95" s="2"/>
      <c r="F95" s="2"/>
    </row>
    <row r="96" spans="2:24" ht="15" customHeight="1" x14ac:dyDescent="0.25">
      <c r="B96" s="2" t="s">
        <v>21</v>
      </c>
      <c r="C96" s="2"/>
      <c r="D96" s="2"/>
      <c r="E96" s="2"/>
      <c r="F96" s="2"/>
    </row>
    <row r="97" spans="2:2" ht="15" customHeight="1" x14ac:dyDescent="0.25">
      <c r="B97" s="2"/>
    </row>
    <row r="98" spans="2:2" ht="15" customHeight="1" x14ac:dyDescent="0.25">
      <c r="B98" s="2"/>
    </row>
  </sheetData>
  <mergeCells count="22">
    <mergeCell ref="W6:X6"/>
    <mergeCell ref="E5:E7"/>
    <mergeCell ref="B2:X2"/>
    <mergeCell ref="B3:X3"/>
    <mergeCell ref="B5:B7"/>
    <mergeCell ref="F5:K5"/>
    <mergeCell ref="L5:N5"/>
    <mergeCell ref="O5:X5"/>
    <mergeCell ref="F6:F7"/>
    <mergeCell ref="G6:H6"/>
    <mergeCell ref="L6:L7"/>
    <mergeCell ref="D5:D7"/>
    <mergeCell ref="J6:K6"/>
    <mergeCell ref="I6:I7"/>
    <mergeCell ref="B92:E92"/>
    <mergeCell ref="M6:N6"/>
    <mergeCell ref="O6:O7"/>
    <mergeCell ref="P6:Q6"/>
    <mergeCell ref="U6:V6"/>
    <mergeCell ref="C5:C7"/>
    <mergeCell ref="S6:T6"/>
    <mergeCell ref="R6:R7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C9E1-3C4D-4A5F-AB47-0CDF45ABD5FA}">
  <sheetPr codeName="Hoja14">
    <tabColor rgb="FFC00000"/>
  </sheetPr>
  <dimension ref="B2:Y103"/>
  <sheetViews>
    <sheetView showGridLines="0" zoomScaleNormal="100" workbookViewId="0">
      <selection activeCell="B102" sqref="B102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5703125" style="1" customWidth="1"/>
    <col min="3" max="3" width="15.7109375" style="1" customWidth="1"/>
    <col min="4" max="4" width="25.7109375" style="1" customWidth="1"/>
    <col min="5" max="5" width="35.7109375" style="1" customWidth="1"/>
    <col min="6" max="6" width="10.7109375" style="1" customWidth="1"/>
    <col min="7" max="25" width="12.7109375" style="1" customWidth="1"/>
    <col min="26" max="16384" width="11.42578125" style="1"/>
  </cols>
  <sheetData>
    <row r="2" spans="2:25" ht="84.95" customHeight="1" x14ac:dyDescent="0.25">
      <c r="B2" s="89" t="s">
        <v>55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2:25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2:25" ht="15" customHeight="1" thickBot="1" x14ac:dyDescent="0.3"/>
    <row r="5" spans="2:25" ht="15" customHeight="1" thickBot="1" x14ac:dyDescent="0.3">
      <c r="B5" s="92" t="s">
        <v>50</v>
      </c>
      <c r="C5" s="92" t="s">
        <v>0</v>
      </c>
      <c r="D5" s="92" t="s">
        <v>5</v>
      </c>
      <c r="E5" s="92" t="s">
        <v>6</v>
      </c>
      <c r="F5" s="92" t="s">
        <v>7</v>
      </c>
      <c r="G5" s="91" t="s">
        <v>11</v>
      </c>
      <c r="H5" s="91"/>
      <c r="I5" s="91"/>
      <c r="J5" s="91"/>
      <c r="K5" s="91"/>
      <c r="L5" s="91"/>
      <c r="M5" s="91" t="s">
        <v>12</v>
      </c>
      <c r="N5" s="91"/>
      <c r="O5" s="91"/>
      <c r="P5" s="91" t="s">
        <v>14</v>
      </c>
      <c r="Q5" s="91"/>
      <c r="R5" s="91"/>
      <c r="S5" s="91"/>
      <c r="T5" s="91"/>
      <c r="U5" s="91"/>
      <c r="V5" s="91"/>
      <c r="W5" s="91"/>
      <c r="X5" s="91"/>
      <c r="Y5" s="91"/>
    </row>
    <row r="6" spans="2:25" ht="15" customHeight="1" thickBot="1" x14ac:dyDescent="0.3">
      <c r="B6" s="92"/>
      <c r="C6" s="92"/>
      <c r="D6" s="92"/>
      <c r="E6" s="92"/>
      <c r="F6" s="92"/>
      <c r="G6" s="91" t="s">
        <v>10</v>
      </c>
      <c r="H6" s="91" t="s">
        <v>9</v>
      </c>
      <c r="I6" s="91"/>
      <c r="J6" s="96" t="s">
        <v>10</v>
      </c>
      <c r="K6" s="95" t="s">
        <v>20</v>
      </c>
      <c r="L6" s="94"/>
      <c r="M6" s="91" t="s">
        <v>10</v>
      </c>
      <c r="N6" s="91" t="s">
        <v>13</v>
      </c>
      <c r="O6" s="91"/>
      <c r="P6" s="91" t="s">
        <v>10</v>
      </c>
      <c r="Q6" s="91" t="s">
        <v>15</v>
      </c>
      <c r="R6" s="91"/>
      <c r="S6" s="91" t="s">
        <v>10</v>
      </c>
      <c r="T6" s="93" t="s">
        <v>41</v>
      </c>
      <c r="U6" s="94"/>
      <c r="V6" s="91" t="s">
        <v>3</v>
      </c>
      <c r="W6" s="91"/>
      <c r="X6" s="91" t="s">
        <v>4</v>
      </c>
      <c r="Y6" s="91"/>
    </row>
    <row r="7" spans="2:25" ht="30" customHeight="1" thickBot="1" x14ac:dyDescent="0.3">
      <c r="B7" s="92"/>
      <c r="C7" s="92"/>
      <c r="D7" s="92"/>
      <c r="E7" s="92"/>
      <c r="F7" s="92"/>
      <c r="G7" s="91"/>
      <c r="H7" s="9" t="s">
        <v>1</v>
      </c>
      <c r="I7" s="9" t="s">
        <v>2</v>
      </c>
      <c r="J7" s="97"/>
      <c r="K7" s="9" t="s">
        <v>1</v>
      </c>
      <c r="L7" s="9" t="s">
        <v>2</v>
      </c>
      <c r="M7" s="91"/>
      <c r="N7" s="9" t="s">
        <v>1</v>
      </c>
      <c r="O7" s="9" t="s">
        <v>2</v>
      </c>
      <c r="P7" s="91"/>
      <c r="Q7" s="9" t="s">
        <v>1</v>
      </c>
      <c r="R7" s="9" t="s">
        <v>2</v>
      </c>
      <c r="S7" s="91"/>
      <c r="T7" s="9" t="s">
        <v>1</v>
      </c>
      <c r="U7" s="9" t="s">
        <v>2</v>
      </c>
      <c r="V7" s="9" t="s">
        <v>1</v>
      </c>
      <c r="W7" s="9" t="s">
        <v>2</v>
      </c>
      <c r="X7" s="9" t="s">
        <v>1</v>
      </c>
      <c r="Y7" s="9" t="s">
        <v>2</v>
      </c>
    </row>
    <row r="8" spans="2:25" ht="15" customHeight="1" x14ac:dyDescent="0.25">
      <c r="B8" s="4" t="s">
        <v>48</v>
      </c>
      <c r="C8" s="6" t="s">
        <v>70</v>
      </c>
      <c r="D8" s="7" t="s">
        <v>71</v>
      </c>
      <c r="E8" s="6" t="s">
        <v>72</v>
      </c>
      <c r="F8" s="43">
        <v>210401</v>
      </c>
      <c r="G8" s="16">
        <f t="shared" ref="G8:G48" si="0">IFERROR(VLOOKUP($F8,distrito035,2,0),"-")</f>
        <v>562</v>
      </c>
      <c r="H8" s="24">
        <f t="shared" ref="H8:H48" si="1">IFERROR(VLOOKUP($F8,distrito035,3,0),"-")</f>
        <v>56</v>
      </c>
      <c r="I8" s="20">
        <f t="shared" ref="I8:I48" si="2">IFERROR(VLOOKUP($F8,distrito035,4,0),"-")</f>
        <v>9.9644128113879002</v>
      </c>
      <c r="J8" s="36">
        <f t="shared" ref="J8:J48" si="3">IFERROR(VLOOKUP($F8,distrito035,5,0),"-")</f>
        <v>506</v>
      </c>
      <c r="K8" s="24">
        <f t="shared" ref="K8:K48" si="4">IFERROR(VLOOKUP($F8,distrito035,6,0),"-")</f>
        <v>166</v>
      </c>
      <c r="L8" s="20">
        <f t="shared" ref="L8:L48" si="5">IFERROR(VLOOKUP($F8,distrito035,7,0),"-")</f>
        <v>32.806324110671937</v>
      </c>
      <c r="M8" s="16">
        <f t="shared" ref="M8:M48" si="6">IFERROR(VLOOKUP($F8,distrito035,8,0),"-")</f>
        <v>562</v>
      </c>
      <c r="N8" s="24">
        <f t="shared" ref="N8:N48" si="7">IFERROR(VLOOKUP($F8,distrito035,9,0),"-")</f>
        <v>10</v>
      </c>
      <c r="O8" s="28">
        <f t="shared" ref="O8:O48" si="8">IFERROR(VLOOKUP($F8,distrito035,10,0),"-")</f>
        <v>1.7793594306049825</v>
      </c>
      <c r="P8" s="16">
        <f t="shared" ref="P8:P48" si="9">IFERROR(VLOOKUP($F8,distrito035,11,0),"-")</f>
        <v>562</v>
      </c>
      <c r="Q8" s="24">
        <f t="shared" ref="Q8:Q48" si="10">IFERROR(VLOOKUP($F8,distrito035,12,0),"-")</f>
        <v>5</v>
      </c>
      <c r="R8" s="29">
        <f t="shared" ref="R8:R48" si="11">IFERROR(VLOOKUP($F8,distrito035,13,0),"-")</f>
        <v>0.88967971530249124</v>
      </c>
      <c r="S8" s="72">
        <f t="shared" ref="S8:S48" si="12">IFERROR(VLOOKUP($F8,distrito035,14,0),"-")</f>
        <v>517</v>
      </c>
      <c r="T8" s="72">
        <f t="shared" ref="T8:T48" si="13">IFERROR(VLOOKUP($F8,distrito035,15,0),"-")</f>
        <v>23</v>
      </c>
      <c r="U8" s="20">
        <f t="shared" ref="U8:U48" si="14">IFERROR(VLOOKUP($F8,distrito035,16,0),"-")</f>
        <v>4.4487427466150873</v>
      </c>
      <c r="V8" s="36">
        <f t="shared" ref="V8:V48" si="15">IFERROR(VLOOKUP($F8,distrito035,17,0),"-")</f>
        <v>36</v>
      </c>
      <c r="W8" s="29">
        <f t="shared" ref="W8:W48" si="16">IFERROR(VLOOKUP($F8,distrito035,18,0),"-")</f>
        <v>6.4056939501779357</v>
      </c>
      <c r="X8" s="36">
        <f t="shared" ref="X8:X48" si="17">IFERROR(VLOOKUP($F8,distrito035,19,0),"-")</f>
        <v>4</v>
      </c>
      <c r="Y8" s="28">
        <f t="shared" ref="Y8:Y48" si="18">IFERROR(VLOOKUP($F8,distrito035,20,0),"-")</f>
        <v>0.71174377224199281</v>
      </c>
    </row>
    <row r="9" spans="2:25" ht="15" customHeight="1" x14ac:dyDescent="0.25">
      <c r="B9" s="5" t="s">
        <v>48</v>
      </c>
      <c r="C9" s="7" t="s">
        <v>70</v>
      </c>
      <c r="D9" s="7" t="s">
        <v>71</v>
      </c>
      <c r="E9" s="7" t="s">
        <v>73</v>
      </c>
      <c r="F9" s="44">
        <v>210402</v>
      </c>
      <c r="G9" s="17">
        <f t="shared" si="0"/>
        <v>403</v>
      </c>
      <c r="H9" s="25">
        <f t="shared" si="1"/>
        <v>42</v>
      </c>
      <c r="I9" s="21">
        <f t="shared" si="2"/>
        <v>10.421836228287841</v>
      </c>
      <c r="J9" s="37">
        <f t="shared" si="3"/>
        <v>361</v>
      </c>
      <c r="K9" s="25">
        <f t="shared" si="4"/>
        <v>127</v>
      </c>
      <c r="L9" s="21">
        <f t="shared" si="5"/>
        <v>35.180055401662052</v>
      </c>
      <c r="M9" s="17">
        <f t="shared" si="6"/>
        <v>403</v>
      </c>
      <c r="N9" s="25">
        <f t="shared" si="7"/>
        <v>10</v>
      </c>
      <c r="O9" s="30">
        <f t="shared" si="8"/>
        <v>2.481389578163772</v>
      </c>
      <c r="P9" s="17">
        <f t="shared" si="9"/>
        <v>403</v>
      </c>
      <c r="Q9" s="25">
        <f t="shared" si="10"/>
        <v>2</v>
      </c>
      <c r="R9" s="31">
        <f t="shared" si="11"/>
        <v>0.49627791563275436</v>
      </c>
      <c r="S9" s="25">
        <f t="shared" si="12"/>
        <v>380</v>
      </c>
      <c r="T9" s="25">
        <f t="shared" si="13"/>
        <v>24</v>
      </c>
      <c r="U9" s="21">
        <f t="shared" si="14"/>
        <v>6.3157894736842106</v>
      </c>
      <c r="V9" s="37">
        <f t="shared" si="15"/>
        <v>19</v>
      </c>
      <c r="W9" s="31">
        <f t="shared" si="16"/>
        <v>4.7146401985111659</v>
      </c>
      <c r="X9" s="37">
        <f t="shared" si="17"/>
        <v>2</v>
      </c>
      <c r="Y9" s="30">
        <f t="shared" si="18"/>
        <v>0.49627791563275436</v>
      </c>
    </row>
    <row r="10" spans="2:25" ht="15" customHeight="1" x14ac:dyDescent="0.25">
      <c r="B10" s="5" t="s">
        <v>48</v>
      </c>
      <c r="C10" s="7" t="s">
        <v>70</v>
      </c>
      <c r="D10" s="7" t="s">
        <v>71</v>
      </c>
      <c r="E10" s="7" t="s">
        <v>74</v>
      </c>
      <c r="F10" s="44">
        <v>210404</v>
      </c>
      <c r="G10" s="17">
        <f t="shared" si="0"/>
        <v>116</v>
      </c>
      <c r="H10" s="25">
        <f t="shared" si="1"/>
        <v>15</v>
      </c>
      <c r="I10" s="21">
        <f t="shared" si="2"/>
        <v>12.931034482758621</v>
      </c>
      <c r="J10" s="37">
        <f t="shared" si="3"/>
        <v>101</v>
      </c>
      <c r="K10" s="25">
        <f t="shared" si="4"/>
        <v>41</v>
      </c>
      <c r="L10" s="21">
        <f t="shared" si="5"/>
        <v>40.594059405940598</v>
      </c>
      <c r="M10" s="17">
        <f t="shared" si="6"/>
        <v>116</v>
      </c>
      <c r="N10" s="25">
        <f t="shared" si="7"/>
        <v>3</v>
      </c>
      <c r="O10" s="30">
        <f t="shared" si="8"/>
        <v>2.5862068965517242</v>
      </c>
      <c r="P10" s="17">
        <f t="shared" si="9"/>
        <v>116</v>
      </c>
      <c r="Q10" s="25">
        <f t="shared" si="10"/>
        <v>3</v>
      </c>
      <c r="R10" s="31">
        <f t="shared" si="11"/>
        <v>2.5862068965517242</v>
      </c>
      <c r="S10" s="25">
        <f t="shared" si="12"/>
        <v>109</v>
      </c>
      <c r="T10" s="25">
        <f t="shared" si="13"/>
        <v>5</v>
      </c>
      <c r="U10" s="21">
        <f t="shared" si="14"/>
        <v>4.5871559633027523</v>
      </c>
      <c r="V10" s="37">
        <f t="shared" si="15"/>
        <v>4</v>
      </c>
      <c r="W10" s="31">
        <f t="shared" si="16"/>
        <v>3.4482758620689653</v>
      </c>
      <c r="X10" s="37">
        <f t="shared" si="17"/>
        <v>0</v>
      </c>
      <c r="Y10" s="30">
        <f t="shared" si="18"/>
        <v>0</v>
      </c>
    </row>
    <row r="11" spans="2:25" ht="15" customHeight="1" x14ac:dyDescent="0.25">
      <c r="B11" s="5" t="s">
        <v>48</v>
      </c>
      <c r="C11" s="7" t="s">
        <v>70</v>
      </c>
      <c r="D11" s="7" t="s">
        <v>70</v>
      </c>
      <c r="E11" s="7" t="s">
        <v>70</v>
      </c>
      <c r="F11" s="44">
        <v>210101</v>
      </c>
      <c r="G11" s="17">
        <f t="shared" si="0"/>
        <v>2955</v>
      </c>
      <c r="H11" s="25">
        <f t="shared" si="1"/>
        <v>273</v>
      </c>
      <c r="I11" s="21">
        <f t="shared" si="2"/>
        <v>9.2385786802030445</v>
      </c>
      <c r="J11" s="37">
        <f t="shared" si="3"/>
        <v>2682</v>
      </c>
      <c r="K11" s="25">
        <f t="shared" si="4"/>
        <v>990</v>
      </c>
      <c r="L11" s="21">
        <f t="shared" si="5"/>
        <v>36.912751677852349</v>
      </c>
      <c r="M11" s="17">
        <f t="shared" si="6"/>
        <v>2955</v>
      </c>
      <c r="N11" s="25">
        <f t="shared" si="7"/>
        <v>78</v>
      </c>
      <c r="O11" s="30">
        <f t="shared" si="8"/>
        <v>2.6395939086294415</v>
      </c>
      <c r="P11" s="17">
        <f t="shared" si="9"/>
        <v>2955</v>
      </c>
      <c r="Q11" s="25">
        <f t="shared" si="10"/>
        <v>30</v>
      </c>
      <c r="R11" s="31">
        <f t="shared" si="11"/>
        <v>1.015228426395939</v>
      </c>
      <c r="S11" s="25">
        <f t="shared" si="12"/>
        <v>2764</v>
      </c>
      <c r="T11" s="25">
        <f t="shared" si="13"/>
        <v>154</v>
      </c>
      <c r="U11" s="21">
        <f t="shared" si="14"/>
        <v>5.5716353111432708</v>
      </c>
      <c r="V11" s="37">
        <f t="shared" si="15"/>
        <v>142</v>
      </c>
      <c r="W11" s="31">
        <f t="shared" si="16"/>
        <v>4.8054145516074449</v>
      </c>
      <c r="X11" s="37">
        <f t="shared" si="17"/>
        <v>19</v>
      </c>
      <c r="Y11" s="30">
        <f t="shared" si="18"/>
        <v>0.64297800338409483</v>
      </c>
    </row>
    <row r="12" spans="2:25" ht="15" customHeight="1" x14ac:dyDescent="0.25">
      <c r="B12" s="5" t="s">
        <v>48</v>
      </c>
      <c r="C12" s="7" t="s">
        <v>70</v>
      </c>
      <c r="D12" s="7" t="s">
        <v>70</v>
      </c>
      <c r="E12" s="7" t="s">
        <v>75</v>
      </c>
      <c r="F12" s="44">
        <v>210102</v>
      </c>
      <c r="G12" s="17">
        <f t="shared" si="0"/>
        <v>480</v>
      </c>
      <c r="H12" s="25">
        <f t="shared" si="1"/>
        <v>49</v>
      </c>
      <c r="I12" s="21">
        <f t="shared" si="2"/>
        <v>10.208333333333334</v>
      </c>
      <c r="J12" s="37">
        <f t="shared" si="3"/>
        <v>431</v>
      </c>
      <c r="K12" s="25">
        <f t="shared" si="4"/>
        <v>148</v>
      </c>
      <c r="L12" s="21">
        <f t="shared" si="5"/>
        <v>34.338747099767978</v>
      </c>
      <c r="M12" s="17">
        <f t="shared" si="6"/>
        <v>480</v>
      </c>
      <c r="N12" s="25">
        <f t="shared" si="7"/>
        <v>11</v>
      </c>
      <c r="O12" s="30">
        <f t="shared" si="8"/>
        <v>2.2916666666666665</v>
      </c>
      <c r="P12" s="17">
        <f t="shared" si="9"/>
        <v>480</v>
      </c>
      <c r="Q12" s="25">
        <f t="shared" si="10"/>
        <v>5</v>
      </c>
      <c r="R12" s="31">
        <f t="shared" si="11"/>
        <v>1.0416666666666665</v>
      </c>
      <c r="S12" s="25">
        <f t="shared" si="12"/>
        <v>444</v>
      </c>
      <c r="T12" s="25">
        <f t="shared" si="13"/>
        <v>25</v>
      </c>
      <c r="U12" s="21">
        <f t="shared" si="14"/>
        <v>5.6306306306306304</v>
      </c>
      <c r="V12" s="37">
        <f t="shared" si="15"/>
        <v>25</v>
      </c>
      <c r="W12" s="31">
        <f t="shared" si="16"/>
        <v>5.2083333333333339</v>
      </c>
      <c r="X12" s="37">
        <f t="shared" si="17"/>
        <v>6</v>
      </c>
      <c r="Y12" s="30">
        <f t="shared" si="18"/>
        <v>1.25</v>
      </c>
    </row>
    <row r="13" spans="2:25" ht="15" customHeight="1" x14ac:dyDescent="0.25">
      <c r="B13" s="5" t="s">
        <v>48</v>
      </c>
      <c r="C13" s="7" t="s">
        <v>70</v>
      </c>
      <c r="D13" s="7" t="s">
        <v>70</v>
      </c>
      <c r="E13" s="7" t="s">
        <v>76</v>
      </c>
      <c r="F13" s="44">
        <v>210103</v>
      </c>
      <c r="G13" s="17">
        <f t="shared" si="0"/>
        <v>92</v>
      </c>
      <c r="H13" s="25">
        <f t="shared" si="1"/>
        <v>15</v>
      </c>
      <c r="I13" s="21">
        <f t="shared" si="2"/>
        <v>16.304347826086957</v>
      </c>
      <c r="J13" s="37">
        <f t="shared" si="3"/>
        <v>77</v>
      </c>
      <c r="K13" s="25">
        <f t="shared" si="4"/>
        <v>27</v>
      </c>
      <c r="L13" s="21">
        <f t="shared" si="5"/>
        <v>35.064935064935064</v>
      </c>
      <c r="M13" s="17">
        <f t="shared" si="6"/>
        <v>92</v>
      </c>
      <c r="N13" s="25">
        <f t="shared" si="7"/>
        <v>2</v>
      </c>
      <c r="O13" s="30">
        <f t="shared" si="8"/>
        <v>2.1739130434782608</v>
      </c>
      <c r="P13" s="17">
        <f t="shared" si="9"/>
        <v>92</v>
      </c>
      <c r="Q13" s="25">
        <f t="shared" si="10"/>
        <v>0</v>
      </c>
      <c r="R13" s="31">
        <f t="shared" si="11"/>
        <v>0</v>
      </c>
      <c r="S13" s="25">
        <f t="shared" si="12"/>
        <v>84</v>
      </c>
      <c r="T13" s="25">
        <f t="shared" si="13"/>
        <v>4</v>
      </c>
      <c r="U13" s="21">
        <f t="shared" si="14"/>
        <v>4.7619047619047619</v>
      </c>
      <c r="V13" s="37">
        <f t="shared" si="15"/>
        <v>7</v>
      </c>
      <c r="W13" s="31">
        <f t="shared" si="16"/>
        <v>7.608695652173914</v>
      </c>
      <c r="X13" s="37">
        <f t="shared" si="17"/>
        <v>1</v>
      </c>
      <c r="Y13" s="30">
        <f t="shared" si="18"/>
        <v>1.0869565217391304</v>
      </c>
    </row>
    <row r="14" spans="2:25" ht="15" customHeight="1" x14ac:dyDescent="0.25">
      <c r="B14" s="5" t="s">
        <v>48</v>
      </c>
      <c r="C14" s="7" t="s">
        <v>70</v>
      </c>
      <c r="D14" s="7" t="s">
        <v>70</v>
      </c>
      <c r="E14" s="7" t="s">
        <v>77</v>
      </c>
      <c r="F14" s="44">
        <v>210105</v>
      </c>
      <c r="G14" s="17">
        <f t="shared" si="0"/>
        <v>221</v>
      </c>
      <c r="H14" s="25">
        <f t="shared" si="1"/>
        <v>20</v>
      </c>
      <c r="I14" s="21">
        <f t="shared" si="2"/>
        <v>9.0497737556561084</v>
      </c>
      <c r="J14" s="37">
        <f t="shared" si="3"/>
        <v>201</v>
      </c>
      <c r="K14" s="25">
        <f t="shared" si="4"/>
        <v>65</v>
      </c>
      <c r="L14" s="21">
        <f t="shared" si="5"/>
        <v>32.338308457711449</v>
      </c>
      <c r="M14" s="17">
        <f t="shared" si="6"/>
        <v>221</v>
      </c>
      <c r="N14" s="25">
        <f t="shared" si="7"/>
        <v>4</v>
      </c>
      <c r="O14" s="30">
        <f t="shared" si="8"/>
        <v>1.809954751131222</v>
      </c>
      <c r="P14" s="17">
        <f t="shared" si="9"/>
        <v>221</v>
      </c>
      <c r="Q14" s="25">
        <f t="shared" si="10"/>
        <v>0</v>
      </c>
      <c r="R14" s="31">
        <f t="shared" si="11"/>
        <v>0</v>
      </c>
      <c r="S14" s="25">
        <f t="shared" si="12"/>
        <v>208</v>
      </c>
      <c r="T14" s="25">
        <f t="shared" si="13"/>
        <v>7</v>
      </c>
      <c r="U14" s="21">
        <f t="shared" si="14"/>
        <v>3.3653846153846154</v>
      </c>
      <c r="V14" s="37">
        <f t="shared" si="15"/>
        <v>11</v>
      </c>
      <c r="W14" s="31">
        <f t="shared" si="16"/>
        <v>4.9773755656108598</v>
      </c>
      <c r="X14" s="37">
        <f t="shared" si="17"/>
        <v>2</v>
      </c>
      <c r="Y14" s="30">
        <f t="shared" si="18"/>
        <v>0.90497737556561098</v>
      </c>
    </row>
    <row r="15" spans="2:25" ht="15" customHeight="1" x14ac:dyDescent="0.25">
      <c r="B15" s="5" t="s">
        <v>48</v>
      </c>
      <c r="C15" s="7" t="s">
        <v>70</v>
      </c>
      <c r="D15" s="7" t="s">
        <v>70</v>
      </c>
      <c r="E15" s="7" t="s">
        <v>71</v>
      </c>
      <c r="F15" s="44">
        <v>210106</v>
      </c>
      <c r="G15" s="17">
        <f t="shared" si="0"/>
        <v>155</v>
      </c>
      <c r="H15" s="25">
        <f t="shared" si="1"/>
        <v>15</v>
      </c>
      <c r="I15" s="21">
        <f t="shared" si="2"/>
        <v>9.67741935483871</v>
      </c>
      <c r="J15" s="37">
        <f t="shared" si="3"/>
        <v>140</v>
      </c>
      <c r="K15" s="25">
        <f t="shared" si="4"/>
        <v>56</v>
      </c>
      <c r="L15" s="21">
        <f t="shared" si="5"/>
        <v>40</v>
      </c>
      <c r="M15" s="17">
        <f t="shared" si="6"/>
        <v>155</v>
      </c>
      <c r="N15" s="25">
        <f t="shared" si="7"/>
        <v>1</v>
      </c>
      <c r="O15" s="30">
        <f t="shared" si="8"/>
        <v>0.64516129032258063</v>
      </c>
      <c r="P15" s="17">
        <f t="shared" si="9"/>
        <v>155</v>
      </c>
      <c r="Q15" s="25">
        <f t="shared" si="10"/>
        <v>0</v>
      </c>
      <c r="R15" s="31">
        <f t="shared" si="11"/>
        <v>0</v>
      </c>
      <c r="S15" s="25">
        <f t="shared" si="12"/>
        <v>140</v>
      </c>
      <c r="T15" s="25">
        <f t="shared" si="13"/>
        <v>3</v>
      </c>
      <c r="U15" s="21">
        <f t="shared" si="14"/>
        <v>2.1428571428571428</v>
      </c>
      <c r="V15" s="37">
        <f t="shared" si="15"/>
        <v>14</v>
      </c>
      <c r="W15" s="31">
        <f t="shared" si="16"/>
        <v>9.0322580645161281</v>
      </c>
      <c r="X15" s="37">
        <f t="shared" si="17"/>
        <v>1</v>
      </c>
      <c r="Y15" s="30">
        <f t="shared" si="18"/>
        <v>0.64516129032258063</v>
      </c>
    </row>
    <row r="16" spans="2:25" ht="15" customHeight="1" x14ac:dyDescent="0.25">
      <c r="B16" s="5" t="s">
        <v>48</v>
      </c>
      <c r="C16" s="7" t="s">
        <v>70</v>
      </c>
      <c r="D16" s="7" t="s">
        <v>70</v>
      </c>
      <c r="E16" s="7" t="s">
        <v>78</v>
      </c>
      <c r="F16" s="44">
        <v>210107</v>
      </c>
      <c r="G16" s="17">
        <f t="shared" si="0"/>
        <v>238</v>
      </c>
      <c r="H16" s="25">
        <f t="shared" si="1"/>
        <v>29</v>
      </c>
      <c r="I16" s="21">
        <f t="shared" si="2"/>
        <v>12.184873949579831</v>
      </c>
      <c r="J16" s="37">
        <f t="shared" si="3"/>
        <v>209</v>
      </c>
      <c r="K16" s="25">
        <f t="shared" si="4"/>
        <v>77</v>
      </c>
      <c r="L16" s="21">
        <f t="shared" si="5"/>
        <v>36.84210526315789</v>
      </c>
      <c r="M16" s="17">
        <f t="shared" si="6"/>
        <v>238</v>
      </c>
      <c r="N16" s="25">
        <f t="shared" si="7"/>
        <v>8</v>
      </c>
      <c r="O16" s="30">
        <f t="shared" si="8"/>
        <v>3.3613445378151261</v>
      </c>
      <c r="P16" s="17">
        <f t="shared" si="9"/>
        <v>238</v>
      </c>
      <c r="Q16" s="25">
        <f t="shared" si="10"/>
        <v>1</v>
      </c>
      <c r="R16" s="31">
        <f t="shared" si="11"/>
        <v>0.42016806722689076</v>
      </c>
      <c r="S16" s="25">
        <f t="shared" si="12"/>
        <v>208</v>
      </c>
      <c r="T16" s="25">
        <f t="shared" si="13"/>
        <v>10</v>
      </c>
      <c r="U16" s="21">
        <f t="shared" si="14"/>
        <v>4.8076923076923084</v>
      </c>
      <c r="V16" s="37">
        <f t="shared" si="15"/>
        <v>25</v>
      </c>
      <c r="W16" s="31">
        <f t="shared" si="16"/>
        <v>10.504201680672269</v>
      </c>
      <c r="X16" s="37">
        <f t="shared" si="17"/>
        <v>4</v>
      </c>
      <c r="Y16" s="30">
        <f t="shared" si="18"/>
        <v>1.680672268907563</v>
      </c>
    </row>
    <row r="17" spans="2:25" ht="15" customHeight="1" x14ac:dyDescent="0.25">
      <c r="B17" s="5" t="s">
        <v>48</v>
      </c>
      <c r="C17" s="7" t="s">
        <v>70</v>
      </c>
      <c r="D17" s="7" t="s">
        <v>70</v>
      </c>
      <c r="E17" s="7" t="s">
        <v>79</v>
      </c>
      <c r="F17" s="44">
        <v>210108</v>
      </c>
      <c r="G17" s="17">
        <f t="shared" si="0"/>
        <v>113</v>
      </c>
      <c r="H17" s="25">
        <f t="shared" si="1"/>
        <v>11</v>
      </c>
      <c r="I17" s="21">
        <f t="shared" si="2"/>
        <v>9.7345132743362832</v>
      </c>
      <c r="J17" s="37">
        <f t="shared" si="3"/>
        <v>102</v>
      </c>
      <c r="K17" s="25">
        <f t="shared" si="4"/>
        <v>33</v>
      </c>
      <c r="L17" s="21">
        <f t="shared" si="5"/>
        <v>32.352941176470587</v>
      </c>
      <c r="M17" s="17">
        <f t="shared" si="6"/>
        <v>113</v>
      </c>
      <c r="N17" s="25">
        <f t="shared" si="7"/>
        <v>5</v>
      </c>
      <c r="O17" s="30">
        <f t="shared" si="8"/>
        <v>4.4247787610619467</v>
      </c>
      <c r="P17" s="17">
        <f t="shared" si="9"/>
        <v>113</v>
      </c>
      <c r="Q17" s="25">
        <f t="shared" si="10"/>
        <v>3</v>
      </c>
      <c r="R17" s="31">
        <f t="shared" si="11"/>
        <v>2.6548672566371683</v>
      </c>
      <c r="S17" s="25">
        <f t="shared" si="12"/>
        <v>104</v>
      </c>
      <c r="T17" s="25">
        <f t="shared" si="13"/>
        <v>9</v>
      </c>
      <c r="U17" s="21">
        <f t="shared" si="14"/>
        <v>8.6538461538461533</v>
      </c>
      <c r="V17" s="37">
        <f t="shared" si="15"/>
        <v>6</v>
      </c>
      <c r="W17" s="31">
        <f t="shared" si="16"/>
        <v>5.3097345132743365</v>
      </c>
      <c r="X17" s="37">
        <f t="shared" si="17"/>
        <v>0</v>
      </c>
      <c r="Y17" s="30">
        <f t="shared" si="18"/>
        <v>0</v>
      </c>
    </row>
    <row r="18" spans="2:25" ht="15" customHeight="1" x14ac:dyDescent="0.25">
      <c r="B18" s="5" t="s">
        <v>48</v>
      </c>
      <c r="C18" s="7" t="s">
        <v>70</v>
      </c>
      <c r="D18" s="7" t="s">
        <v>70</v>
      </c>
      <c r="E18" s="7" t="s">
        <v>80</v>
      </c>
      <c r="F18" s="44">
        <v>210110</v>
      </c>
      <c r="G18" s="17">
        <f t="shared" si="0"/>
        <v>139</v>
      </c>
      <c r="H18" s="25">
        <f t="shared" si="1"/>
        <v>12</v>
      </c>
      <c r="I18" s="21">
        <f t="shared" si="2"/>
        <v>8.6330935251798557</v>
      </c>
      <c r="J18" s="37">
        <f t="shared" si="3"/>
        <v>127</v>
      </c>
      <c r="K18" s="25">
        <f t="shared" si="4"/>
        <v>56</v>
      </c>
      <c r="L18" s="21">
        <f t="shared" si="5"/>
        <v>44.094488188976378</v>
      </c>
      <c r="M18" s="17">
        <f t="shared" si="6"/>
        <v>139</v>
      </c>
      <c r="N18" s="25">
        <f t="shared" si="7"/>
        <v>3</v>
      </c>
      <c r="O18" s="30">
        <f t="shared" si="8"/>
        <v>2.1582733812949639</v>
      </c>
      <c r="P18" s="17">
        <f t="shared" si="9"/>
        <v>139</v>
      </c>
      <c r="Q18" s="25">
        <f t="shared" si="10"/>
        <v>1</v>
      </c>
      <c r="R18" s="31">
        <f t="shared" si="11"/>
        <v>0.71942446043165476</v>
      </c>
      <c r="S18" s="25">
        <f t="shared" si="12"/>
        <v>120</v>
      </c>
      <c r="T18" s="25">
        <f t="shared" si="13"/>
        <v>5</v>
      </c>
      <c r="U18" s="21">
        <f t="shared" si="14"/>
        <v>4.1666666666666661</v>
      </c>
      <c r="V18" s="37">
        <f t="shared" si="15"/>
        <v>16</v>
      </c>
      <c r="W18" s="31">
        <f t="shared" si="16"/>
        <v>11.510791366906476</v>
      </c>
      <c r="X18" s="37">
        <f t="shared" si="17"/>
        <v>2</v>
      </c>
      <c r="Y18" s="30">
        <f t="shared" si="18"/>
        <v>1.4388489208633095</v>
      </c>
    </row>
    <row r="19" spans="2:25" ht="15" customHeight="1" x14ac:dyDescent="0.25">
      <c r="B19" s="5" t="s">
        <v>48</v>
      </c>
      <c r="C19" s="7" t="s">
        <v>70</v>
      </c>
      <c r="D19" s="7" t="s">
        <v>70</v>
      </c>
      <c r="E19" s="7" t="s">
        <v>81</v>
      </c>
      <c r="F19" s="44">
        <v>210112</v>
      </c>
      <c r="G19" s="17">
        <f t="shared" si="0"/>
        <v>133</v>
      </c>
      <c r="H19" s="25">
        <f t="shared" si="1"/>
        <v>14</v>
      </c>
      <c r="I19" s="21">
        <f t="shared" si="2"/>
        <v>10.526315789473683</v>
      </c>
      <c r="J19" s="37">
        <f t="shared" si="3"/>
        <v>119</v>
      </c>
      <c r="K19" s="25">
        <f t="shared" si="4"/>
        <v>40</v>
      </c>
      <c r="L19" s="21">
        <f t="shared" si="5"/>
        <v>33.613445378151262</v>
      </c>
      <c r="M19" s="17">
        <f t="shared" si="6"/>
        <v>133</v>
      </c>
      <c r="N19" s="25">
        <f t="shared" si="7"/>
        <v>2</v>
      </c>
      <c r="O19" s="30">
        <f t="shared" si="8"/>
        <v>1.5037593984962405</v>
      </c>
      <c r="P19" s="17">
        <f t="shared" si="9"/>
        <v>133</v>
      </c>
      <c r="Q19" s="25">
        <f t="shared" si="10"/>
        <v>1</v>
      </c>
      <c r="R19" s="31">
        <f t="shared" si="11"/>
        <v>0.75187969924812026</v>
      </c>
      <c r="S19" s="25">
        <f t="shared" si="12"/>
        <v>124</v>
      </c>
      <c r="T19" s="25">
        <f t="shared" si="13"/>
        <v>7</v>
      </c>
      <c r="U19" s="21">
        <f t="shared" si="14"/>
        <v>5.6451612903225801</v>
      </c>
      <c r="V19" s="37">
        <f t="shared" si="15"/>
        <v>7</v>
      </c>
      <c r="W19" s="31">
        <f t="shared" si="16"/>
        <v>5.2631578947368416</v>
      </c>
      <c r="X19" s="37">
        <f t="shared" si="17"/>
        <v>1</v>
      </c>
      <c r="Y19" s="30">
        <f t="shared" si="18"/>
        <v>0.75187969924812026</v>
      </c>
    </row>
    <row r="20" spans="2:25" ht="15" customHeight="1" x14ac:dyDescent="0.25">
      <c r="B20" s="5" t="s">
        <v>48</v>
      </c>
      <c r="C20" s="7" t="s">
        <v>70</v>
      </c>
      <c r="D20" s="7" t="s">
        <v>71</v>
      </c>
      <c r="E20" s="7" t="s">
        <v>82</v>
      </c>
      <c r="F20" s="44">
        <v>210405</v>
      </c>
      <c r="G20" s="17">
        <f t="shared" si="0"/>
        <v>72</v>
      </c>
      <c r="H20" s="25">
        <f t="shared" si="1"/>
        <v>7</v>
      </c>
      <c r="I20" s="21">
        <f t="shared" si="2"/>
        <v>9.7222222222222232</v>
      </c>
      <c r="J20" s="37">
        <f t="shared" si="3"/>
        <v>65</v>
      </c>
      <c r="K20" s="25">
        <f t="shared" si="4"/>
        <v>20</v>
      </c>
      <c r="L20" s="21">
        <f t="shared" si="5"/>
        <v>30.76923076923077</v>
      </c>
      <c r="M20" s="17">
        <f t="shared" si="6"/>
        <v>72</v>
      </c>
      <c r="N20" s="25">
        <f t="shared" si="7"/>
        <v>2</v>
      </c>
      <c r="O20" s="30">
        <f t="shared" si="8"/>
        <v>2.7777777777777777</v>
      </c>
      <c r="P20" s="17">
        <f t="shared" si="9"/>
        <v>72</v>
      </c>
      <c r="Q20" s="25">
        <f t="shared" si="10"/>
        <v>2</v>
      </c>
      <c r="R20" s="31">
        <f t="shared" si="11"/>
        <v>2.7777777777777777</v>
      </c>
      <c r="S20" s="25">
        <f t="shared" si="12"/>
        <v>67</v>
      </c>
      <c r="T20" s="25">
        <f t="shared" si="13"/>
        <v>7</v>
      </c>
      <c r="U20" s="21">
        <f t="shared" si="14"/>
        <v>10.44776119402985</v>
      </c>
      <c r="V20" s="37">
        <f t="shared" si="15"/>
        <v>3</v>
      </c>
      <c r="W20" s="31">
        <f t="shared" si="16"/>
        <v>4.1666666666666661</v>
      </c>
      <c r="X20" s="37">
        <f t="shared" si="17"/>
        <v>0</v>
      </c>
      <c r="Y20" s="30">
        <f t="shared" si="18"/>
        <v>0</v>
      </c>
    </row>
    <row r="21" spans="2:25" ht="15" customHeight="1" x14ac:dyDescent="0.25">
      <c r="B21" s="5" t="s">
        <v>48</v>
      </c>
      <c r="C21" s="7" t="s">
        <v>70</v>
      </c>
      <c r="D21" s="7" t="s">
        <v>71</v>
      </c>
      <c r="E21" s="7" t="s">
        <v>83</v>
      </c>
      <c r="F21" s="44">
        <v>210406</v>
      </c>
      <c r="G21" s="17">
        <f t="shared" si="0"/>
        <v>292</v>
      </c>
      <c r="H21" s="25">
        <f t="shared" si="1"/>
        <v>29</v>
      </c>
      <c r="I21" s="21">
        <f t="shared" si="2"/>
        <v>9.9315068493150687</v>
      </c>
      <c r="J21" s="37">
        <f t="shared" si="3"/>
        <v>263</v>
      </c>
      <c r="K21" s="25">
        <f t="shared" si="4"/>
        <v>86</v>
      </c>
      <c r="L21" s="21">
        <f t="shared" si="5"/>
        <v>32.699619771863119</v>
      </c>
      <c r="M21" s="17">
        <f t="shared" si="6"/>
        <v>292</v>
      </c>
      <c r="N21" s="25">
        <f t="shared" si="7"/>
        <v>3</v>
      </c>
      <c r="O21" s="30">
        <f t="shared" si="8"/>
        <v>1.0273972602739725</v>
      </c>
      <c r="P21" s="17">
        <f t="shared" si="9"/>
        <v>292</v>
      </c>
      <c r="Q21" s="25">
        <f t="shared" si="10"/>
        <v>1</v>
      </c>
      <c r="R21" s="31">
        <f t="shared" si="11"/>
        <v>0.34246575342465752</v>
      </c>
      <c r="S21" s="25">
        <f t="shared" si="12"/>
        <v>259</v>
      </c>
      <c r="T21" s="25">
        <f t="shared" si="13"/>
        <v>6</v>
      </c>
      <c r="U21" s="21">
        <f t="shared" si="14"/>
        <v>2.3166023166023164</v>
      </c>
      <c r="V21" s="37">
        <f t="shared" si="15"/>
        <v>29</v>
      </c>
      <c r="W21" s="31">
        <f t="shared" si="16"/>
        <v>9.9315068493150687</v>
      </c>
      <c r="X21" s="37">
        <f t="shared" si="17"/>
        <v>3</v>
      </c>
      <c r="Y21" s="30">
        <f t="shared" si="18"/>
        <v>1.0273972602739725</v>
      </c>
    </row>
    <row r="22" spans="2:25" ht="15" customHeight="1" x14ac:dyDescent="0.25">
      <c r="B22" s="5" t="s">
        <v>48</v>
      </c>
      <c r="C22" s="7" t="s">
        <v>70</v>
      </c>
      <c r="D22" s="7" t="s">
        <v>71</v>
      </c>
      <c r="E22" s="7" t="s">
        <v>84</v>
      </c>
      <c r="F22" s="44">
        <v>210407</v>
      </c>
      <c r="G22" s="17">
        <f t="shared" si="0"/>
        <v>419</v>
      </c>
      <c r="H22" s="25">
        <f t="shared" si="1"/>
        <v>39</v>
      </c>
      <c r="I22" s="21">
        <f t="shared" si="2"/>
        <v>9.3078758949880669</v>
      </c>
      <c r="J22" s="37">
        <f t="shared" si="3"/>
        <v>380</v>
      </c>
      <c r="K22" s="25">
        <f t="shared" si="4"/>
        <v>129</v>
      </c>
      <c r="L22" s="21">
        <f t="shared" si="5"/>
        <v>33.94736842105263</v>
      </c>
      <c r="M22" s="17">
        <f t="shared" si="6"/>
        <v>419</v>
      </c>
      <c r="N22" s="25">
        <f t="shared" si="7"/>
        <v>9</v>
      </c>
      <c r="O22" s="30">
        <f t="shared" si="8"/>
        <v>2.1479713603818613</v>
      </c>
      <c r="P22" s="17">
        <f t="shared" si="9"/>
        <v>419</v>
      </c>
      <c r="Q22" s="25">
        <f t="shared" si="10"/>
        <v>3</v>
      </c>
      <c r="R22" s="31">
        <f t="shared" si="11"/>
        <v>0.71599045346062051</v>
      </c>
      <c r="S22" s="25">
        <f t="shared" si="12"/>
        <v>381</v>
      </c>
      <c r="T22" s="25">
        <f t="shared" si="13"/>
        <v>13</v>
      </c>
      <c r="U22" s="21">
        <f t="shared" si="14"/>
        <v>3.4120734908136483</v>
      </c>
      <c r="V22" s="37">
        <f t="shared" si="15"/>
        <v>31</v>
      </c>
      <c r="W22" s="31">
        <f t="shared" si="16"/>
        <v>7.3985680190930783</v>
      </c>
      <c r="X22" s="37">
        <f t="shared" si="17"/>
        <v>4</v>
      </c>
      <c r="Y22" s="30">
        <f t="shared" si="18"/>
        <v>0.95465393794749409</v>
      </c>
    </row>
    <row r="23" spans="2:25" ht="15" customHeight="1" x14ac:dyDescent="0.25">
      <c r="B23" s="5" t="s">
        <v>48</v>
      </c>
      <c r="C23" s="7" t="s">
        <v>70</v>
      </c>
      <c r="D23" s="7" t="s">
        <v>85</v>
      </c>
      <c r="E23" s="7" t="s">
        <v>86</v>
      </c>
      <c r="F23" s="44">
        <v>210501</v>
      </c>
      <c r="G23" s="17">
        <f t="shared" si="0"/>
        <v>1314</v>
      </c>
      <c r="H23" s="25">
        <f t="shared" si="1"/>
        <v>71</v>
      </c>
      <c r="I23" s="21">
        <f t="shared" si="2"/>
        <v>5.4033485540334851</v>
      </c>
      <c r="J23" s="37">
        <f t="shared" si="3"/>
        <v>1243</v>
      </c>
      <c r="K23" s="25">
        <f t="shared" si="4"/>
        <v>351</v>
      </c>
      <c r="L23" s="21">
        <f t="shared" si="5"/>
        <v>28.23813354786806</v>
      </c>
      <c r="M23" s="17">
        <f t="shared" si="6"/>
        <v>1314</v>
      </c>
      <c r="N23" s="25">
        <f t="shared" si="7"/>
        <v>12</v>
      </c>
      <c r="O23" s="30">
        <f t="shared" si="8"/>
        <v>0.91324200913242004</v>
      </c>
      <c r="P23" s="17">
        <f t="shared" si="9"/>
        <v>1314</v>
      </c>
      <c r="Q23" s="25">
        <f t="shared" si="10"/>
        <v>2</v>
      </c>
      <c r="R23" s="31">
        <f t="shared" si="11"/>
        <v>0.15220700152207001</v>
      </c>
      <c r="S23" s="25">
        <f t="shared" si="12"/>
        <v>1204</v>
      </c>
      <c r="T23" s="25">
        <f t="shared" si="13"/>
        <v>31</v>
      </c>
      <c r="U23" s="21">
        <f t="shared" si="14"/>
        <v>2.5747508305647839</v>
      </c>
      <c r="V23" s="37">
        <f t="shared" si="15"/>
        <v>95</v>
      </c>
      <c r="W23" s="31">
        <f t="shared" si="16"/>
        <v>7.2298325722983252</v>
      </c>
      <c r="X23" s="37">
        <f t="shared" si="17"/>
        <v>13</v>
      </c>
      <c r="Y23" s="30">
        <f t="shared" si="18"/>
        <v>0.98934550989345504</v>
      </c>
    </row>
    <row r="24" spans="2:25" ht="15" customHeight="1" x14ac:dyDescent="0.25">
      <c r="B24" s="5" t="s">
        <v>48</v>
      </c>
      <c r="C24" s="7" t="s">
        <v>70</v>
      </c>
      <c r="D24" s="7" t="s">
        <v>85</v>
      </c>
      <c r="E24" s="7" t="s">
        <v>87</v>
      </c>
      <c r="F24" s="44">
        <v>210502</v>
      </c>
      <c r="G24" s="17">
        <f t="shared" si="0"/>
        <v>13</v>
      </c>
      <c r="H24" s="25">
        <f t="shared" si="1"/>
        <v>2</v>
      </c>
      <c r="I24" s="21">
        <f t="shared" si="2"/>
        <v>15.384615384615385</v>
      </c>
      <c r="J24" s="37">
        <f t="shared" si="3"/>
        <v>11</v>
      </c>
      <c r="K24" s="25">
        <f t="shared" si="4"/>
        <v>5</v>
      </c>
      <c r="L24" s="21">
        <f t="shared" si="5"/>
        <v>45.454545454545453</v>
      </c>
      <c r="M24" s="17">
        <f t="shared" si="6"/>
        <v>13</v>
      </c>
      <c r="N24" s="25">
        <f t="shared" si="7"/>
        <v>0</v>
      </c>
      <c r="O24" s="30">
        <f t="shared" si="8"/>
        <v>0</v>
      </c>
      <c r="P24" s="17">
        <f t="shared" si="9"/>
        <v>13</v>
      </c>
      <c r="Q24" s="25">
        <f t="shared" si="10"/>
        <v>0</v>
      </c>
      <c r="R24" s="31">
        <f t="shared" si="11"/>
        <v>0</v>
      </c>
      <c r="S24" s="25">
        <f t="shared" si="12"/>
        <v>10</v>
      </c>
      <c r="T24" s="25">
        <f t="shared" si="13"/>
        <v>0</v>
      </c>
      <c r="U24" s="21">
        <f t="shared" si="14"/>
        <v>0</v>
      </c>
      <c r="V24" s="37">
        <f t="shared" si="15"/>
        <v>2</v>
      </c>
      <c r="W24" s="31">
        <f t="shared" si="16"/>
        <v>15.384615384615385</v>
      </c>
      <c r="X24" s="37">
        <f t="shared" si="17"/>
        <v>1</v>
      </c>
      <c r="Y24" s="30">
        <f t="shared" si="18"/>
        <v>7.6923076923076925</v>
      </c>
    </row>
    <row r="25" spans="2:25" ht="15" customHeight="1" x14ac:dyDescent="0.25">
      <c r="B25" s="5" t="s">
        <v>48</v>
      </c>
      <c r="C25" s="7" t="s">
        <v>70</v>
      </c>
      <c r="D25" s="7" t="s">
        <v>85</v>
      </c>
      <c r="E25" s="7" t="s">
        <v>88</v>
      </c>
      <c r="F25" s="44">
        <v>210503</v>
      </c>
      <c r="G25" s="17">
        <f t="shared" si="0"/>
        <v>144</v>
      </c>
      <c r="H25" s="25">
        <f t="shared" si="1"/>
        <v>12</v>
      </c>
      <c r="I25" s="21">
        <f t="shared" si="2"/>
        <v>8.3333333333333321</v>
      </c>
      <c r="J25" s="37">
        <f t="shared" si="3"/>
        <v>132</v>
      </c>
      <c r="K25" s="25">
        <f t="shared" si="4"/>
        <v>45</v>
      </c>
      <c r="L25" s="21">
        <f t="shared" si="5"/>
        <v>34.090909090909086</v>
      </c>
      <c r="M25" s="17">
        <f t="shared" si="6"/>
        <v>144</v>
      </c>
      <c r="N25" s="25">
        <f t="shared" si="7"/>
        <v>1</v>
      </c>
      <c r="O25" s="30">
        <f t="shared" si="8"/>
        <v>0.69444444444444442</v>
      </c>
      <c r="P25" s="17">
        <f t="shared" si="9"/>
        <v>144</v>
      </c>
      <c r="Q25" s="25">
        <f t="shared" si="10"/>
        <v>0</v>
      </c>
      <c r="R25" s="31">
        <f t="shared" si="11"/>
        <v>0</v>
      </c>
      <c r="S25" s="25">
        <f t="shared" si="12"/>
        <v>129</v>
      </c>
      <c r="T25" s="25">
        <f t="shared" si="13"/>
        <v>6</v>
      </c>
      <c r="U25" s="21">
        <f t="shared" si="14"/>
        <v>4.6511627906976747</v>
      </c>
      <c r="V25" s="37">
        <f t="shared" si="15"/>
        <v>15</v>
      </c>
      <c r="W25" s="31">
        <f t="shared" si="16"/>
        <v>10.416666666666668</v>
      </c>
      <c r="X25" s="37">
        <f t="shared" si="17"/>
        <v>0</v>
      </c>
      <c r="Y25" s="30">
        <f t="shared" si="18"/>
        <v>0</v>
      </c>
    </row>
    <row r="26" spans="2:25" ht="15" customHeight="1" x14ac:dyDescent="0.25">
      <c r="B26" s="5" t="s">
        <v>48</v>
      </c>
      <c r="C26" s="7" t="s">
        <v>70</v>
      </c>
      <c r="D26" s="7" t="s">
        <v>89</v>
      </c>
      <c r="E26" s="7" t="s">
        <v>89</v>
      </c>
      <c r="F26" s="44">
        <v>210601</v>
      </c>
      <c r="G26" s="17">
        <f t="shared" si="0"/>
        <v>545</v>
      </c>
      <c r="H26" s="25">
        <f t="shared" si="1"/>
        <v>69</v>
      </c>
      <c r="I26" s="21">
        <f t="shared" si="2"/>
        <v>12.660550458715598</v>
      </c>
      <c r="J26" s="37">
        <f t="shared" si="3"/>
        <v>476</v>
      </c>
      <c r="K26" s="25">
        <f t="shared" si="4"/>
        <v>174</v>
      </c>
      <c r="L26" s="21">
        <f t="shared" si="5"/>
        <v>36.554621848739494</v>
      </c>
      <c r="M26" s="17">
        <f t="shared" si="6"/>
        <v>545</v>
      </c>
      <c r="N26" s="25">
        <f t="shared" si="7"/>
        <v>17</v>
      </c>
      <c r="O26" s="30">
        <f t="shared" si="8"/>
        <v>3.1192660550458715</v>
      </c>
      <c r="P26" s="17">
        <f t="shared" si="9"/>
        <v>545</v>
      </c>
      <c r="Q26" s="25">
        <f t="shared" si="10"/>
        <v>5</v>
      </c>
      <c r="R26" s="31">
        <f t="shared" si="11"/>
        <v>0.91743119266055051</v>
      </c>
      <c r="S26" s="25">
        <f t="shared" si="12"/>
        <v>501</v>
      </c>
      <c r="T26" s="25">
        <f t="shared" si="13"/>
        <v>26</v>
      </c>
      <c r="U26" s="21">
        <f t="shared" si="14"/>
        <v>5.1896207584830334</v>
      </c>
      <c r="V26" s="37">
        <f t="shared" si="15"/>
        <v>30</v>
      </c>
      <c r="W26" s="31">
        <f t="shared" si="16"/>
        <v>5.5045871559633035</v>
      </c>
      <c r="X26" s="37">
        <f t="shared" si="17"/>
        <v>9</v>
      </c>
      <c r="Y26" s="30">
        <f t="shared" si="18"/>
        <v>1.6513761467889909</v>
      </c>
    </row>
    <row r="27" spans="2:25" ht="15" customHeight="1" x14ac:dyDescent="0.25">
      <c r="B27" s="5" t="s">
        <v>48</v>
      </c>
      <c r="C27" s="7" t="s">
        <v>70</v>
      </c>
      <c r="D27" s="7" t="s">
        <v>89</v>
      </c>
      <c r="E27" s="7" t="s">
        <v>90</v>
      </c>
      <c r="F27" s="44">
        <v>210602</v>
      </c>
      <c r="G27" s="17">
        <f t="shared" si="0"/>
        <v>89</v>
      </c>
      <c r="H27" s="25">
        <f t="shared" si="1"/>
        <v>17</v>
      </c>
      <c r="I27" s="21">
        <f t="shared" si="2"/>
        <v>19.101123595505616</v>
      </c>
      <c r="J27" s="37">
        <f t="shared" si="3"/>
        <v>72</v>
      </c>
      <c r="K27" s="25">
        <f t="shared" si="4"/>
        <v>41</v>
      </c>
      <c r="L27" s="21">
        <f t="shared" si="5"/>
        <v>56.944444444444443</v>
      </c>
      <c r="M27" s="17">
        <f t="shared" si="6"/>
        <v>89</v>
      </c>
      <c r="N27" s="25">
        <f t="shared" si="7"/>
        <v>3</v>
      </c>
      <c r="O27" s="30">
        <f t="shared" si="8"/>
        <v>3.3707865168539324</v>
      </c>
      <c r="P27" s="17">
        <f t="shared" si="9"/>
        <v>89</v>
      </c>
      <c r="Q27" s="25">
        <f t="shared" si="10"/>
        <v>0</v>
      </c>
      <c r="R27" s="31">
        <f t="shared" si="11"/>
        <v>0</v>
      </c>
      <c r="S27" s="25">
        <f t="shared" si="12"/>
        <v>81</v>
      </c>
      <c r="T27" s="25">
        <f t="shared" si="13"/>
        <v>3</v>
      </c>
      <c r="U27" s="21">
        <f t="shared" si="14"/>
        <v>3.7037037037037033</v>
      </c>
      <c r="V27" s="37">
        <f t="shared" si="15"/>
        <v>8</v>
      </c>
      <c r="W27" s="31">
        <f t="shared" si="16"/>
        <v>8.9887640449438209</v>
      </c>
      <c r="X27" s="37">
        <f t="shared" si="17"/>
        <v>0</v>
      </c>
      <c r="Y27" s="30">
        <f t="shared" si="18"/>
        <v>0</v>
      </c>
    </row>
    <row r="28" spans="2:25" ht="15" customHeight="1" x14ac:dyDescent="0.25">
      <c r="B28" s="5" t="s">
        <v>48</v>
      </c>
      <c r="C28" s="7" t="s">
        <v>70</v>
      </c>
      <c r="D28" s="7" t="s">
        <v>89</v>
      </c>
      <c r="E28" s="7" t="s">
        <v>91</v>
      </c>
      <c r="F28" s="44">
        <v>210605</v>
      </c>
      <c r="G28" s="17">
        <f t="shared" si="0"/>
        <v>120</v>
      </c>
      <c r="H28" s="25">
        <f t="shared" si="1"/>
        <v>11</v>
      </c>
      <c r="I28" s="21">
        <f t="shared" si="2"/>
        <v>9.1666666666666661</v>
      </c>
      <c r="J28" s="37">
        <f t="shared" si="3"/>
        <v>109</v>
      </c>
      <c r="K28" s="25">
        <f t="shared" si="4"/>
        <v>40</v>
      </c>
      <c r="L28" s="21">
        <f t="shared" si="5"/>
        <v>36.697247706422019</v>
      </c>
      <c r="M28" s="17">
        <f t="shared" si="6"/>
        <v>120</v>
      </c>
      <c r="N28" s="25">
        <f t="shared" si="7"/>
        <v>2</v>
      </c>
      <c r="O28" s="30">
        <f t="shared" si="8"/>
        <v>1.6666666666666667</v>
      </c>
      <c r="P28" s="17">
        <f t="shared" si="9"/>
        <v>120</v>
      </c>
      <c r="Q28" s="25">
        <f t="shared" si="10"/>
        <v>0</v>
      </c>
      <c r="R28" s="31">
        <f t="shared" si="11"/>
        <v>0</v>
      </c>
      <c r="S28" s="25">
        <f t="shared" si="12"/>
        <v>105</v>
      </c>
      <c r="T28" s="25">
        <f t="shared" si="13"/>
        <v>5</v>
      </c>
      <c r="U28" s="21">
        <f t="shared" si="14"/>
        <v>4.7619047619047619</v>
      </c>
      <c r="V28" s="37">
        <f t="shared" si="15"/>
        <v>11</v>
      </c>
      <c r="W28" s="31">
        <f t="shared" si="16"/>
        <v>9.1666666666666661</v>
      </c>
      <c r="X28" s="37">
        <f t="shared" si="17"/>
        <v>4</v>
      </c>
      <c r="Y28" s="30">
        <f t="shared" si="18"/>
        <v>3.3333333333333335</v>
      </c>
    </row>
    <row r="29" spans="2:25" ht="15" customHeight="1" x14ac:dyDescent="0.25">
      <c r="B29" s="5" t="s">
        <v>48</v>
      </c>
      <c r="C29" s="7" t="s">
        <v>70</v>
      </c>
      <c r="D29" s="7" t="s">
        <v>89</v>
      </c>
      <c r="E29" s="7" t="s">
        <v>92</v>
      </c>
      <c r="F29" s="44">
        <v>210607</v>
      </c>
      <c r="G29" s="17">
        <f t="shared" si="0"/>
        <v>373</v>
      </c>
      <c r="H29" s="25">
        <f t="shared" si="1"/>
        <v>23</v>
      </c>
      <c r="I29" s="21">
        <f t="shared" si="2"/>
        <v>6.1662198391420908</v>
      </c>
      <c r="J29" s="37">
        <f t="shared" si="3"/>
        <v>350</v>
      </c>
      <c r="K29" s="25">
        <f t="shared" si="4"/>
        <v>82</v>
      </c>
      <c r="L29" s="21">
        <f t="shared" si="5"/>
        <v>23.428571428571431</v>
      </c>
      <c r="M29" s="17">
        <f t="shared" si="6"/>
        <v>373</v>
      </c>
      <c r="N29" s="25">
        <f t="shared" si="7"/>
        <v>5</v>
      </c>
      <c r="O29" s="30">
        <f t="shared" si="8"/>
        <v>1.3404825737265416</v>
      </c>
      <c r="P29" s="17">
        <f t="shared" si="9"/>
        <v>373</v>
      </c>
      <c r="Q29" s="25">
        <f t="shared" si="10"/>
        <v>2</v>
      </c>
      <c r="R29" s="31">
        <f t="shared" si="11"/>
        <v>0.53619302949061665</v>
      </c>
      <c r="S29" s="25">
        <f t="shared" si="12"/>
        <v>347</v>
      </c>
      <c r="T29" s="25">
        <f t="shared" si="13"/>
        <v>9</v>
      </c>
      <c r="U29" s="21">
        <f t="shared" si="14"/>
        <v>2.5936599423631126</v>
      </c>
      <c r="V29" s="37">
        <f t="shared" si="15"/>
        <v>17</v>
      </c>
      <c r="W29" s="31">
        <f t="shared" si="16"/>
        <v>4.5576407506702417</v>
      </c>
      <c r="X29" s="37">
        <f t="shared" si="17"/>
        <v>7</v>
      </c>
      <c r="Y29" s="30">
        <f t="shared" si="18"/>
        <v>1.8766756032171581</v>
      </c>
    </row>
    <row r="30" spans="2:25" ht="15" customHeight="1" x14ac:dyDescent="0.25">
      <c r="B30" s="5" t="s">
        <v>48</v>
      </c>
      <c r="C30" s="7" t="s">
        <v>70</v>
      </c>
      <c r="D30" s="7" t="s">
        <v>89</v>
      </c>
      <c r="E30" s="7" t="s">
        <v>93</v>
      </c>
      <c r="F30" s="44">
        <v>210608</v>
      </c>
      <c r="G30" s="17">
        <f t="shared" si="0"/>
        <v>122</v>
      </c>
      <c r="H30" s="25">
        <f t="shared" si="1"/>
        <v>26</v>
      </c>
      <c r="I30" s="21">
        <f t="shared" si="2"/>
        <v>21.311475409836063</v>
      </c>
      <c r="J30" s="37">
        <f t="shared" si="3"/>
        <v>96</v>
      </c>
      <c r="K30" s="25">
        <f t="shared" si="4"/>
        <v>35</v>
      </c>
      <c r="L30" s="21">
        <f t="shared" si="5"/>
        <v>36.458333333333329</v>
      </c>
      <c r="M30" s="17">
        <f t="shared" si="6"/>
        <v>122</v>
      </c>
      <c r="N30" s="25">
        <f t="shared" si="7"/>
        <v>1</v>
      </c>
      <c r="O30" s="30">
        <f t="shared" si="8"/>
        <v>0.81967213114754101</v>
      </c>
      <c r="P30" s="17">
        <f t="shared" si="9"/>
        <v>122</v>
      </c>
      <c r="Q30" s="25">
        <f t="shared" si="10"/>
        <v>0</v>
      </c>
      <c r="R30" s="31">
        <f t="shared" si="11"/>
        <v>0</v>
      </c>
      <c r="S30" s="25">
        <f t="shared" si="12"/>
        <v>108</v>
      </c>
      <c r="T30" s="25">
        <f t="shared" si="13"/>
        <v>6</v>
      </c>
      <c r="U30" s="21">
        <f t="shared" si="14"/>
        <v>5.5555555555555554</v>
      </c>
      <c r="V30" s="37">
        <f t="shared" si="15"/>
        <v>13</v>
      </c>
      <c r="W30" s="31">
        <f t="shared" si="16"/>
        <v>10.655737704918032</v>
      </c>
      <c r="X30" s="37">
        <f t="shared" si="17"/>
        <v>1</v>
      </c>
      <c r="Y30" s="30">
        <f t="shared" si="18"/>
        <v>0.81967213114754101</v>
      </c>
    </row>
    <row r="31" spans="2:25" ht="15" customHeight="1" x14ac:dyDescent="0.25">
      <c r="B31" s="5" t="s">
        <v>48</v>
      </c>
      <c r="C31" s="7" t="s">
        <v>70</v>
      </c>
      <c r="D31" s="7" t="s">
        <v>94</v>
      </c>
      <c r="E31" s="7" t="s">
        <v>94</v>
      </c>
      <c r="F31" s="44">
        <v>210901</v>
      </c>
      <c r="G31" s="17">
        <f t="shared" si="0"/>
        <v>311</v>
      </c>
      <c r="H31" s="25">
        <f t="shared" si="1"/>
        <v>57</v>
      </c>
      <c r="I31" s="21">
        <f t="shared" si="2"/>
        <v>18.327974276527332</v>
      </c>
      <c r="J31" s="37">
        <f t="shared" si="3"/>
        <v>254</v>
      </c>
      <c r="K31" s="25">
        <f t="shared" si="4"/>
        <v>102</v>
      </c>
      <c r="L31" s="21">
        <f t="shared" si="5"/>
        <v>40.15748031496063</v>
      </c>
      <c r="M31" s="17">
        <f t="shared" si="6"/>
        <v>311</v>
      </c>
      <c r="N31" s="25">
        <f t="shared" si="7"/>
        <v>6</v>
      </c>
      <c r="O31" s="30">
        <f t="shared" si="8"/>
        <v>1.929260450160772</v>
      </c>
      <c r="P31" s="17">
        <f t="shared" si="9"/>
        <v>311</v>
      </c>
      <c r="Q31" s="25">
        <f t="shared" si="10"/>
        <v>3</v>
      </c>
      <c r="R31" s="31">
        <f t="shared" si="11"/>
        <v>0.96463022508038598</v>
      </c>
      <c r="S31" s="25">
        <f t="shared" si="12"/>
        <v>279</v>
      </c>
      <c r="T31" s="25">
        <f t="shared" si="13"/>
        <v>16</v>
      </c>
      <c r="U31" s="21">
        <f t="shared" si="14"/>
        <v>5.7347670250896057</v>
      </c>
      <c r="V31" s="37">
        <f t="shared" si="15"/>
        <v>20</v>
      </c>
      <c r="W31" s="31">
        <f t="shared" si="16"/>
        <v>6.430868167202572</v>
      </c>
      <c r="X31" s="37">
        <f t="shared" si="17"/>
        <v>9</v>
      </c>
      <c r="Y31" s="30">
        <f t="shared" si="18"/>
        <v>2.8938906752411575</v>
      </c>
    </row>
    <row r="32" spans="2:25" ht="15" customHeight="1" x14ac:dyDescent="0.25">
      <c r="B32" s="5" t="s">
        <v>48</v>
      </c>
      <c r="C32" s="7" t="s">
        <v>70</v>
      </c>
      <c r="D32" s="7" t="s">
        <v>94</v>
      </c>
      <c r="E32" s="7" t="s">
        <v>95</v>
      </c>
      <c r="F32" s="44">
        <v>210902</v>
      </c>
      <c r="G32" s="17">
        <f t="shared" si="0"/>
        <v>56</v>
      </c>
      <c r="H32" s="25">
        <f t="shared" si="1"/>
        <v>7</v>
      </c>
      <c r="I32" s="21">
        <f t="shared" si="2"/>
        <v>12.5</v>
      </c>
      <c r="J32" s="37">
        <f t="shared" si="3"/>
        <v>49</v>
      </c>
      <c r="K32" s="25">
        <f t="shared" si="4"/>
        <v>20</v>
      </c>
      <c r="L32" s="21">
        <f t="shared" si="5"/>
        <v>40.816326530612244</v>
      </c>
      <c r="M32" s="17">
        <f t="shared" si="6"/>
        <v>56</v>
      </c>
      <c r="N32" s="25">
        <f t="shared" si="7"/>
        <v>0</v>
      </c>
      <c r="O32" s="30">
        <f t="shared" si="8"/>
        <v>0</v>
      </c>
      <c r="P32" s="17">
        <f t="shared" si="9"/>
        <v>56</v>
      </c>
      <c r="Q32" s="25">
        <f t="shared" si="10"/>
        <v>0</v>
      </c>
      <c r="R32" s="31">
        <f t="shared" si="11"/>
        <v>0</v>
      </c>
      <c r="S32" s="25">
        <f t="shared" si="12"/>
        <v>53</v>
      </c>
      <c r="T32" s="25">
        <f t="shared" si="13"/>
        <v>0</v>
      </c>
      <c r="U32" s="21">
        <f t="shared" si="14"/>
        <v>0</v>
      </c>
      <c r="V32" s="37">
        <f t="shared" si="15"/>
        <v>3</v>
      </c>
      <c r="W32" s="31">
        <f t="shared" si="16"/>
        <v>5.3571428571428568</v>
      </c>
      <c r="X32" s="37">
        <f t="shared" si="17"/>
        <v>0</v>
      </c>
      <c r="Y32" s="30">
        <f t="shared" si="18"/>
        <v>0</v>
      </c>
    </row>
    <row r="33" spans="2:25" ht="15" customHeight="1" x14ac:dyDescent="0.25">
      <c r="B33" s="5" t="s">
        <v>48</v>
      </c>
      <c r="C33" s="7" t="s">
        <v>70</v>
      </c>
      <c r="D33" s="7" t="s">
        <v>94</v>
      </c>
      <c r="E33" s="7" t="s">
        <v>96</v>
      </c>
      <c r="F33" s="44">
        <v>210903</v>
      </c>
      <c r="G33" s="17">
        <f t="shared" si="0"/>
        <v>81</v>
      </c>
      <c r="H33" s="25">
        <f t="shared" si="1"/>
        <v>17</v>
      </c>
      <c r="I33" s="21">
        <f t="shared" si="2"/>
        <v>20.987654320987652</v>
      </c>
      <c r="J33" s="37">
        <f t="shared" si="3"/>
        <v>64</v>
      </c>
      <c r="K33" s="25">
        <f t="shared" si="4"/>
        <v>28</v>
      </c>
      <c r="L33" s="21">
        <f t="shared" si="5"/>
        <v>43.75</v>
      </c>
      <c r="M33" s="17">
        <f t="shared" si="6"/>
        <v>81</v>
      </c>
      <c r="N33" s="25">
        <f t="shared" si="7"/>
        <v>4</v>
      </c>
      <c r="O33" s="30">
        <f t="shared" si="8"/>
        <v>4.9382716049382713</v>
      </c>
      <c r="P33" s="17">
        <f t="shared" si="9"/>
        <v>81</v>
      </c>
      <c r="Q33" s="25">
        <f t="shared" si="10"/>
        <v>0</v>
      </c>
      <c r="R33" s="31">
        <f t="shared" si="11"/>
        <v>0</v>
      </c>
      <c r="S33" s="25">
        <f t="shared" si="12"/>
        <v>73</v>
      </c>
      <c r="T33" s="25">
        <f t="shared" si="13"/>
        <v>3</v>
      </c>
      <c r="U33" s="21">
        <f t="shared" si="14"/>
        <v>4.10958904109589</v>
      </c>
      <c r="V33" s="37">
        <f t="shared" si="15"/>
        <v>8</v>
      </c>
      <c r="W33" s="31">
        <f t="shared" si="16"/>
        <v>9.8765432098765427</v>
      </c>
      <c r="X33" s="37">
        <f t="shared" si="17"/>
        <v>0</v>
      </c>
      <c r="Y33" s="30">
        <f t="shared" si="18"/>
        <v>0</v>
      </c>
    </row>
    <row r="34" spans="2:25" ht="15" customHeight="1" x14ac:dyDescent="0.25">
      <c r="B34" s="5" t="s">
        <v>48</v>
      </c>
      <c r="C34" s="7" t="s">
        <v>70</v>
      </c>
      <c r="D34" s="7" t="s">
        <v>94</v>
      </c>
      <c r="E34" s="7" t="s">
        <v>97</v>
      </c>
      <c r="F34" s="44">
        <v>210904</v>
      </c>
      <c r="G34" s="17">
        <f t="shared" si="0"/>
        <v>54</v>
      </c>
      <c r="H34" s="25">
        <f t="shared" si="1"/>
        <v>10</v>
      </c>
      <c r="I34" s="21">
        <f t="shared" si="2"/>
        <v>18.518518518518519</v>
      </c>
      <c r="J34" s="37">
        <f t="shared" si="3"/>
        <v>44</v>
      </c>
      <c r="K34" s="25">
        <f t="shared" si="4"/>
        <v>18</v>
      </c>
      <c r="L34" s="21">
        <f t="shared" si="5"/>
        <v>40.909090909090914</v>
      </c>
      <c r="M34" s="17">
        <f t="shared" si="6"/>
        <v>54</v>
      </c>
      <c r="N34" s="25">
        <f t="shared" si="7"/>
        <v>2</v>
      </c>
      <c r="O34" s="30">
        <f t="shared" si="8"/>
        <v>3.7037037037037033</v>
      </c>
      <c r="P34" s="17">
        <f t="shared" si="9"/>
        <v>54</v>
      </c>
      <c r="Q34" s="25">
        <f t="shared" si="10"/>
        <v>1</v>
      </c>
      <c r="R34" s="31">
        <f t="shared" si="11"/>
        <v>1.8518518518518516</v>
      </c>
      <c r="S34" s="25">
        <f t="shared" si="12"/>
        <v>48</v>
      </c>
      <c r="T34" s="25">
        <f t="shared" si="13"/>
        <v>3</v>
      </c>
      <c r="U34" s="21">
        <f t="shared" si="14"/>
        <v>6.25</v>
      </c>
      <c r="V34" s="37">
        <f t="shared" si="15"/>
        <v>4</v>
      </c>
      <c r="W34" s="31">
        <f t="shared" si="16"/>
        <v>7.4074074074074066</v>
      </c>
      <c r="X34" s="37">
        <f t="shared" si="17"/>
        <v>1</v>
      </c>
      <c r="Y34" s="30">
        <f t="shared" si="18"/>
        <v>1.8518518518518516</v>
      </c>
    </row>
    <row r="35" spans="2:25" ht="15" customHeight="1" x14ac:dyDescent="0.25">
      <c r="B35" s="5" t="s">
        <v>48</v>
      </c>
      <c r="C35" s="7" t="s">
        <v>70</v>
      </c>
      <c r="D35" s="7" t="s">
        <v>98</v>
      </c>
      <c r="E35" s="7" t="s">
        <v>99</v>
      </c>
      <c r="F35" s="44">
        <v>211002</v>
      </c>
      <c r="G35" s="17">
        <f t="shared" si="0"/>
        <v>126</v>
      </c>
      <c r="H35" s="25">
        <f t="shared" si="1"/>
        <v>27</v>
      </c>
      <c r="I35" s="21">
        <f t="shared" si="2"/>
        <v>21.428571428571427</v>
      </c>
      <c r="J35" s="37">
        <f t="shared" si="3"/>
        <v>99</v>
      </c>
      <c r="K35" s="25">
        <f t="shared" si="4"/>
        <v>46</v>
      </c>
      <c r="L35" s="21">
        <f t="shared" si="5"/>
        <v>46.464646464646464</v>
      </c>
      <c r="M35" s="17">
        <f t="shared" si="6"/>
        <v>126</v>
      </c>
      <c r="N35" s="25">
        <f t="shared" si="7"/>
        <v>7</v>
      </c>
      <c r="O35" s="30">
        <f t="shared" si="8"/>
        <v>5.5555555555555554</v>
      </c>
      <c r="P35" s="17">
        <f t="shared" si="9"/>
        <v>126</v>
      </c>
      <c r="Q35" s="25">
        <f t="shared" si="10"/>
        <v>4</v>
      </c>
      <c r="R35" s="31">
        <f t="shared" si="11"/>
        <v>3.1746031746031744</v>
      </c>
      <c r="S35" s="25">
        <f t="shared" si="12"/>
        <v>113</v>
      </c>
      <c r="T35" s="25">
        <f t="shared" si="13"/>
        <v>7</v>
      </c>
      <c r="U35" s="21">
        <f t="shared" si="14"/>
        <v>6.1946902654867255</v>
      </c>
      <c r="V35" s="37">
        <f t="shared" si="15"/>
        <v>7</v>
      </c>
      <c r="W35" s="31">
        <f t="shared" si="16"/>
        <v>5.5555555555555554</v>
      </c>
      <c r="X35" s="37">
        <f t="shared" si="17"/>
        <v>2</v>
      </c>
      <c r="Y35" s="30">
        <f t="shared" si="18"/>
        <v>1.5873015873015872</v>
      </c>
    </row>
    <row r="36" spans="2:25" ht="15" customHeight="1" x14ac:dyDescent="0.25">
      <c r="B36" s="5" t="s">
        <v>48</v>
      </c>
      <c r="C36" s="7" t="s">
        <v>70</v>
      </c>
      <c r="D36" s="7" t="s">
        <v>98</v>
      </c>
      <c r="E36" s="7" t="s">
        <v>100</v>
      </c>
      <c r="F36" s="44">
        <v>211005</v>
      </c>
      <c r="G36" s="17">
        <f t="shared" si="0"/>
        <v>48</v>
      </c>
      <c r="H36" s="25">
        <f t="shared" si="1"/>
        <v>8</v>
      </c>
      <c r="I36" s="21">
        <f t="shared" si="2"/>
        <v>16.666666666666664</v>
      </c>
      <c r="J36" s="37">
        <f t="shared" si="3"/>
        <v>40</v>
      </c>
      <c r="K36" s="25">
        <f t="shared" si="4"/>
        <v>21</v>
      </c>
      <c r="L36" s="21">
        <f t="shared" si="5"/>
        <v>52.5</v>
      </c>
      <c r="M36" s="17">
        <f t="shared" si="6"/>
        <v>48</v>
      </c>
      <c r="N36" s="25">
        <f t="shared" si="7"/>
        <v>1</v>
      </c>
      <c r="O36" s="30">
        <f t="shared" si="8"/>
        <v>2.083333333333333</v>
      </c>
      <c r="P36" s="17">
        <f t="shared" si="9"/>
        <v>48</v>
      </c>
      <c r="Q36" s="25">
        <f t="shared" si="10"/>
        <v>1</v>
      </c>
      <c r="R36" s="31">
        <f t="shared" si="11"/>
        <v>2.083333333333333</v>
      </c>
      <c r="S36" s="25">
        <f t="shared" si="12"/>
        <v>34</v>
      </c>
      <c r="T36" s="25">
        <f t="shared" si="13"/>
        <v>0</v>
      </c>
      <c r="U36" s="21">
        <f t="shared" si="14"/>
        <v>0</v>
      </c>
      <c r="V36" s="37">
        <f t="shared" si="15"/>
        <v>13</v>
      </c>
      <c r="W36" s="31">
        <f t="shared" si="16"/>
        <v>27.083333333333332</v>
      </c>
      <c r="X36" s="37">
        <f t="shared" si="17"/>
        <v>0</v>
      </c>
      <c r="Y36" s="30">
        <f t="shared" si="18"/>
        <v>0</v>
      </c>
    </row>
    <row r="37" spans="2:25" ht="15" customHeight="1" x14ac:dyDescent="0.25">
      <c r="B37" s="5" t="s">
        <v>48</v>
      </c>
      <c r="C37" s="7" t="s">
        <v>70</v>
      </c>
      <c r="D37" s="7" t="s">
        <v>101</v>
      </c>
      <c r="E37" s="7" t="s">
        <v>102</v>
      </c>
      <c r="F37" s="44">
        <v>211207</v>
      </c>
      <c r="G37" s="17">
        <f t="shared" si="0"/>
        <v>93</v>
      </c>
      <c r="H37" s="25">
        <f t="shared" si="1"/>
        <v>9</v>
      </c>
      <c r="I37" s="21">
        <f t="shared" si="2"/>
        <v>9.67741935483871</v>
      </c>
      <c r="J37" s="37">
        <f t="shared" si="3"/>
        <v>84</v>
      </c>
      <c r="K37" s="25">
        <f t="shared" si="4"/>
        <v>33</v>
      </c>
      <c r="L37" s="21">
        <f t="shared" si="5"/>
        <v>39.285714285714285</v>
      </c>
      <c r="M37" s="17">
        <f t="shared" si="6"/>
        <v>93</v>
      </c>
      <c r="N37" s="25">
        <f t="shared" si="7"/>
        <v>1</v>
      </c>
      <c r="O37" s="30">
        <f t="shared" si="8"/>
        <v>1.0752688172043012</v>
      </c>
      <c r="P37" s="17">
        <f t="shared" si="9"/>
        <v>93</v>
      </c>
      <c r="Q37" s="25">
        <f t="shared" si="10"/>
        <v>0</v>
      </c>
      <c r="R37" s="31">
        <f t="shared" si="11"/>
        <v>0</v>
      </c>
      <c r="S37" s="25">
        <f t="shared" si="12"/>
        <v>86</v>
      </c>
      <c r="T37" s="25">
        <f t="shared" si="13"/>
        <v>1</v>
      </c>
      <c r="U37" s="21">
        <f t="shared" si="14"/>
        <v>1.1627906976744187</v>
      </c>
      <c r="V37" s="37">
        <f t="shared" si="15"/>
        <v>6</v>
      </c>
      <c r="W37" s="31">
        <f t="shared" si="16"/>
        <v>6.4516129032258061</v>
      </c>
      <c r="X37" s="37">
        <f t="shared" si="17"/>
        <v>1</v>
      </c>
      <c r="Y37" s="30">
        <f t="shared" si="18"/>
        <v>1.0752688172043012</v>
      </c>
    </row>
    <row r="38" spans="2:25" ht="15" customHeight="1" x14ac:dyDescent="0.25">
      <c r="B38" s="5" t="s">
        <v>48</v>
      </c>
      <c r="C38" s="7" t="s">
        <v>70</v>
      </c>
      <c r="D38" s="7" t="s">
        <v>101</v>
      </c>
      <c r="E38" s="7" t="s">
        <v>103</v>
      </c>
      <c r="F38" s="44">
        <v>211208</v>
      </c>
      <c r="G38" s="17">
        <f t="shared" si="0"/>
        <v>79</v>
      </c>
      <c r="H38" s="25">
        <f t="shared" si="1"/>
        <v>2</v>
      </c>
      <c r="I38" s="21">
        <f t="shared" si="2"/>
        <v>2.5316455696202533</v>
      </c>
      <c r="J38" s="37">
        <f t="shared" si="3"/>
        <v>77</v>
      </c>
      <c r="K38" s="25">
        <f t="shared" si="4"/>
        <v>15</v>
      </c>
      <c r="L38" s="21">
        <f t="shared" si="5"/>
        <v>19.480519480519483</v>
      </c>
      <c r="M38" s="17">
        <f t="shared" si="6"/>
        <v>79</v>
      </c>
      <c r="N38" s="25">
        <f t="shared" si="7"/>
        <v>0</v>
      </c>
      <c r="O38" s="30">
        <f t="shared" si="8"/>
        <v>0</v>
      </c>
      <c r="P38" s="17">
        <f t="shared" si="9"/>
        <v>79</v>
      </c>
      <c r="Q38" s="25">
        <f t="shared" si="10"/>
        <v>2</v>
      </c>
      <c r="R38" s="31">
        <f t="shared" si="11"/>
        <v>2.5316455696202533</v>
      </c>
      <c r="S38" s="25">
        <f t="shared" si="12"/>
        <v>72</v>
      </c>
      <c r="T38" s="25">
        <f t="shared" si="13"/>
        <v>4</v>
      </c>
      <c r="U38" s="21">
        <f t="shared" si="14"/>
        <v>5.5555555555555554</v>
      </c>
      <c r="V38" s="37">
        <f t="shared" si="15"/>
        <v>5</v>
      </c>
      <c r="W38" s="31">
        <f t="shared" si="16"/>
        <v>6.3291139240506329</v>
      </c>
      <c r="X38" s="37">
        <f t="shared" si="17"/>
        <v>0</v>
      </c>
      <c r="Y38" s="30">
        <f t="shared" si="18"/>
        <v>0</v>
      </c>
    </row>
    <row r="39" spans="2:25" ht="15" customHeight="1" x14ac:dyDescent="0.25">
      <c r="B39" s="5" t="s">
        <v>48</v>
      </c>
      <c r="C39" s="7" t="s">
        <v>70</v>
      </c>
      <c r="D39" s="7" t="s">
        <v>101</v>
      </c>
      <c r="E39" s="7" t="s">
        <v>104</v>
      </c>
      <c r="F39" s="44">
        <v>211210</v>
      </c>
      <c r="G39" s="17">
        <f t="shared" si="0"/>
        <v>392</v>
      </c>
      <c r="H39" s="25">
        <f t="shared" si="1"/>
        <v>45</v>
      </c>
      <c r="I39" s="21">
        <f t="shared" si="2"/>
        <v>11.479591836734695</v>
      </c>
      <c r="J39" s="37">
        <f t="shared" si="3"/>
        <v>347</v>
      </c>
      <c r="K39" s="25">
        <f t="shared" si="4"/>
        <v>93</v>
      </c>
      <c r="L39" s="21">
        <f t="shared" si="5"/>
        <v>26.801152737752158</v>
      </c>
      <c r="M39" s="17">
        <f t="shared" si="6"/>
        <v>392</v>
      </c>
      <c r="N39" s="25">
        <f t="shared" si="7"/>
        <v>14</v>
      </c>
      <c r="O39" s="30">
        <f t="shared" si="8"/>
        <v>3.5714285714285712</v>
      </c>
      <c r="P39" s="17">
        <f t="shared" si="9"/>
        <v>392</v>
      </c>
      <c r="Q39" s="25">
        <f t="shared" si="10"/>
        <v>7</v>
      </c>
      <c r="R39" s="31">
        <f t="shared" si="11"/>
        <v>1.7857142857142856</v>
      </c>
      <c r="S39" s="25">
        <f t="shared" si="12"/>
        <v>352</v>
      </c>
      <c r="T39" s="25">
        <f t="shared" si="13"/>
        <v>30</v>
      </c>
      <c r="U39" s="21">
        <f t="shared" si="14"/>
        <v>8.5227272727272716</v>
      </c>
      <c r="V39" s="37">
        <f t="shared" si="15"/>
        <v>26</v>
      </c>
      <c r="W39" s="31">
        <f t="shared" si="16"/>
        <v>6.6326530612244898</v>
      </c>
      <c r="X39" s="37">
        <f t="shared" si="17"/>
        <v>7</v>
      </c>
      <c r="Y39" s="30">
        <f t="shared" si="18"/>
        <v>1.7857142857142856</v>
      </c>
    </row>
    <row r="40" spans="2:25" ht="15" customHeight="1" x14ac:dyDescent="0.25">
      <c r="B40" s="5" t="s">
        <v>48</v>
      </c>
      <c r="C40" s="7" t="s">
        <v>70</v>
      </c>
      <c r="D40" s="7" t="s">
        <v>105</v>
      </c>
      <c r="E40" s="7" t="s">
        <v>105</v>
      </c>
      <c r="F40" s="44">
        <v>211301</v>
      </c>
      <c r="G40" s="17">
        <f t="shared" si="0"/>
        <v>825</v>
      </c>
      <c r="H40" s="25">
        <f t="shared" si="1"/>
        <v>71</v>
      </c>
      <c r="I40" s="21">
        <f t="shared" si="2"/>
        <v>8.6060606060606055</v>
      </c>
      <c r="J40" s="37">
        <f t="shared" si="3"/>
        <v>754</v>
      </c>
      <c r="K40" s="25">
        <f t="shared" si="4"/>
        <v>228</v>
      </c>
      <c r="L40" s="21">
        <f t="shared" si="5"/>
        <v>30.238726790450926</v>
      </c>
      <c r="M40" s="17">
        <f t="shared" si="6"/>
        <v>825</v>
      </c>
      <c r="N40" s="25">
        <f t="shared" si="7"/>
        <v>23</v>
      </c>
      <c r="O40" s="30">
        <f t="shared" si="8"/>
        <v>2.7878787878787876</v>
      </c>
      <c r="P40" s="17">
        <f t="shared" si="9"/>
        <v>825</v>
      </c>
      <c r="Q40" s="25">
        <f t="shared" si="10"/>
        <v>18</v>
      </c>
      <c r="R40" s="31">
        <f t="shared" si="11"/>
        <v>2.1818181818181821</v>
      </c>
      <c r="S40" s="25">
        <f t="shared" si="12"/>
        <v>768</v>
      </c>
      <c r="T40" s="25">
        <f t="shared" si="13"/>
        <v>52</v>
      </c>
      <c r="U40" s="21">
        <f t="shared" si="14"/>
        <v>6.770833333333333</v>
      </c>
      <c r="V40" s="37">
        <f t="shared" si="15"/>
        <v>34</v>
      </c>
      <c r="W40" s="31">
        <f t="shared" si="16"/>
        <v>4.1212121212121211</v>
      </c>
      <c r="X40" s="37">
        <f t="shared" si="17"/>
        <v>5</v>
      </c>
      <c r="Y40" s="30">
        <f t="shared" si="18"/>
        <v>0.60606060606060608</v>
      </c>
    </row>
    <row r="41" spans="2:25" ht="15" customHeight="1" x14ac:dyDescent="0.25">
      <c r="B41" s="5" t="s">
        <v>48</v>
      </c>
      <c r="C41" s="7" t="s">
        <v>70</v>
      </c>
      <c r="D41" s="7" t="s">
        <v>105</v>
      </c>
      <c r="E41" s="7" t="s">
        <v>106</v>
      </c>
      <c r="F41" s="44">
        <v>211302</v>
      </c>
      <c r="G41" s="17">
        <f t="shared" si="0"/>
        <v>20</v>
      </c>
      <c r="H41" s="25">
        <f t="shared" si="1"/>
        <v>8</v>
      </c>
      <c r="I41" s="21">
        <f t="shared" si="2"/>
        <v>40</v>
      </c>
      <c r="J41" s="37">
        <f t="shared" si="3"/>
        <v>12</v>
      </c>
      <c r="K41" s="25">
        <f t="shared" si="4"/>
        <v>8</v>
      </c>
      <c r="L41" s="21">
        <f t="shared" si="5"/>
        <v>66.666666666666657</v>
      </c>
      <c r="M41" s="17">
        <f t="shared" si="6"/>
        <v>20</v>
      </c>
      <c r="N41" s="25">
        <f t="shared" si="7"/>
        <v>0</v>
      </c>
      <c r="O41" s="30">
        <f t="shared" si="8"/>
        <v>0</v>
      </c>
      <c r="P41" s="17">
        <f t="shared" si="9"/>
        <v>20</v>
      </c>
      <c r="Q41" s="25">
        <f t="shared" si="10"/>
        <v>0</v>
      </c>
      <c r="R41" s="31">
        <f t="shared" si="11"/>
        <v>0</v>
      </c>
      <c r="S41" s="25">
        <f t="shared" si="12"/>
        <v>14</v>
      </c>
      <c r="T41" s="25">
        <f t="shared" si="13"/>
        <v>0</v>
      </c>
      <c r="U41" s="21">
        <f t="shared" si="14"/>
        <v>0</v>
      </c>
      <c r="V41" s="37">
        <f t="shared" si="15"/>
        <v>6</v>
      </c>
      <c r="W41" s="31">
        <f t="shared" si="16"/>
        <v>30</v>
      </c>
      <c r="X41" s="37">
        <f t="shared" si="17"/>
        <v>0</v>
      </c>
      <c r="Y41" s="30">
        <f t="shared" si="18"/>
        <v>0</v>
      </c>
    </row>
    <row r="42" spans="2:25" ht="15" customHeight="1" x14ac:dyDescent="0.25">
      <c r="B42" s="5" t="s">
        <v>48</v>
      </c>
      <c r="C42" s="7" t="s">
        <v>70</v>
      </c>
      <c r="D42" s="7" t="s">
        <v>105</v>
      </c>
      <c r="E42" s="7" t="s">
        <v>107</v>
      </c>
      <c r="F42" s="44">
        <v>211303</v>
      </c>
      <c r="G42" s="17">
        <f t="shared" si="0"/>
        <v>126</v>
      </c>
      <c r="H42" s="25">
        <f t="shared" si="1"/>
        <v>11</v>
      </c>
      <c r="I42" s="21">
        <f t="shared" si="2"/>
        <v>8.7301587301587293</v>
      </c>
      <c r="J42" s="37">
        <f t="shared" si="3"/>
        <v>115</v>
      </c>
      <c r="K42" s="25">
        <f t="shared" si="4"/>
        <v>28</v>
      </c>
      <c r="L42" s="21">
        <f t="shared" si="5"/>
        <v>24.347826086956523</v>
      </c>
      <c r="M42" s="17">
        <f t="shared" si="6"/>
        <v>126</v>
      </c>
      <c r="N42" s="25">
        <f t="shared" si="7"/>
        <v>1</v>
      </c>
      <c r="O42" s="30">
        <f t="shared" si="8"/>
        <v>0.79365079365079361</v>
      </c>
      <c r="P42" s="17">
        <f t="shared" si="9"/>
        <v>126</v>
      </c>
      <c r="Q42" s="25">
        <f t="shared" si="10"/>
        <v>2</v>
      </c>
      <c r="R42" s="31">
        <f t="shared" si="11"/>
        <v>1.5873015873015872</v>
      </c>
      <c r="S42" s="25">
        <f t="shared" si="12"/>
        <v>124</v>
      </c>
      <c r="T42" s="25">
        <f t="shared" si="13"/>
        <v>3</v>
      </c>
      <c r="U42" s="21">
        <f t="shared" si="14"/>
        <v>2.4193548387096775</v>
      </c>
      <c r="V42" s="37">
        <f t="shared" si="15"/>
        <v>0</v>
      </c>
      <c r="W42" s="31">
        <f t="shared" si="16"/>
        <v>0</v>
      </c>
      <c r="X42" s="37">
        <f t="shared" si="17"/>
        <v>0</v>
      </c>
      <c r="Y42" s="30">
        <f t="shared" si="18"/>
        <v>0</v>
      </c>
    </row>
    <row r="43" spans="2:25" ht="15" customHeight="1" x14ac:dyDescent="0.25">
      <c r="B43" s="5" t="s">
        <v>48</v>
      </c>
      <c r="C43" s="7" t="s">
        <v>70</v>
      </c>
      <c r="D43" s="7" t="s">
        <v>105</v>
      </c>
      <c r="E43" s="7" t="s">
        <v>108</v>
      </c>
      <c r="F43" s="44">
        <v>211304</v>
      </c>
      <c r="G43" s="17">
        <f t="shared" si="0"/>
        <v>23</v>
      </c>
      <c r="H43" s="25">
        <f t="shared" si="1"/>
        <v>3</v>
      </c>
      <c r="I43" s="21">
        <f t="shared" si="2"/>
        <v>13.043478260869565</v>
      </c>
      <c r="J43" s="37">
        <f t="shared" si="3"/>
        <v>20</v>
      </c>
      <c r="K43" s="25">
        <f t="shared" si="4"/>
        <v>6</v>
      </c>
      <c r="L43" s="21">
        <f t="shared" si="5"/>
        <v>30</v>
      </c>
      <c r="M43" s="17">
        <f t="shared" si="6"/>
        <v>23</v>
      </c>
      <c r="N43" s="25">
        <f t="shared" si="7"/>
        <v>0</v>
      </c>
      <c r="O43" s="30">
        <f t="shared" si="8"/>
        <v>0</v>
      </c>
      <c r="P43" s="17">
        <f t="shared" si="9"/>
        <v>23</v>
      </c>
      <c r="Q43" s="25">
        <f t="shared" si="10"/>
        <v>1</v>
      </c>
      <c r="R43" s="31">
        <f t="shared" si="11"/>
        <v>4.3478260869565215</v>
      </c>
      <c r="S43" s="25">
        <f t="shared" si="12"/>
        <v>22</v>
      </c>
      <c r="T43" s="25">
        <f t="shared" si="13"/>
        <v>1</v>
      </c>
      <c r="U43" s="21">
        <f t="shared" si="14"/>
        <v>4.5454545454545459</v>
      </c>
      <c r="V43" s="37">
        <f t="shared" si="15"/>
        <v>0</v>
      </c>
      <c r="W43" s="31">
        <f t="shared" si="16"/>
        <v>0</v>
      </c>
      <c r="X43" s="37">
        <f t="shared" si="17"/>
        <v>0</v>
      </c>
      <c r="Y43" s="30">
        <f t="shared" si="18"/>
        <v>0</v>
      </c>
    </row>
    <row r="44" spans="2:25" ht="15" customHeight="1" x14ac:dyDescent="0.25">
      <c r="B44" s="5" t="s">
        <v>48</v>
      </c>
      <c r="C44" s="7" t="s">
        <v>70</v>
      </c>
      <c r="D44" s="7" t="s">
        <v>105</v>
      </c>
      <c r="E44" s="7" t="s">
        <v>109</v>
      </c>
      <c r="F44" s="44">
        <v>211305</v>
      </c>
      <c r="G44" s="17">
        <f t="shared" si="0"/>
        <v>43</v>
      </c>
      <c r="H44" s="25">
        <f t="shared" si="1"/>
        <v>5</v>
      </c>
      <c r="I44" s="21">
        <f t="shared" si="2"/>
        <v>11.627906976744185</v>
      </c>
      <c r="J44" s="37">
        <f t="shared" si="3"/>
        <v>38</v>
      </c>
      <c r="K44" s="25">
        <f t="shared" si="4"/>
        <v>16</v>
      </c>
      <c r="L44" s="21">
        <f t="shared" si="5"/>
        <v>42.105263157894733</v>
      </c>
      <c r="M44" s="17">
        <f t="shared" si="6"/>
        <v>43</v>
      </c>
      <c r="N44" s="25">
        <f t="shared" si="7"/>
        <v>2</v>
      </c>
      <c r="O44" s="30">
        <f t="shared" si="8"/>
        <v>4.6511627906976747</v>
      </c>
      <c r="P44" s="17">
        <f t="shared" si="9"/>
        <v>43</v>
      </c>
      <c r="Q44" s="25">
        <f t="shared" si="10"/>
        <v>1</v>
      </c>
      <c r="R44" s="31">
        <f t="shared" si="11"/>
        <v>2.3255813953488373</v>
      </c>
      <c r="S44" s="25">
        <f t="shared" si="12"/>
        <v>41</v>
      </c>
      <c r="T44" s="25">
        <f t="shared" si="13"/>
        <v>5</v>
      </c>
      <c r="U44" s="21">
        <f t="shared" si="14"/>
        <v>12.195121951219512</v>
      </c>
      <c r="V44" s="37">
        <f t="shared" si="15"/>
        <v>1</v>
      </c>
      <c r="W44" s="31">
        <f t="shared" si="16"/>
        <v>2.3255813953488373</v>
      </c>
      <c r="X44" s="37">
        <f t="shared" si="17"/>
        <v>0</v>
      </c>
      <c r="Y44" s="30">
        <f t="shared" si="18"/>
        <v>0</v>
      </c>
    </row>
    <row r="45" spans="2:25" ht="15" customHeight="1" x14ac:dyDescent="0.25">
      <c r="B45" s="5" t="s">
        <v>48</v>
      </c>
      <c r="C45" s="7" t="s">
        <v>70</v>
      </c>
      <c r="D45" s="7" t="s">
        <v>105</v>
      </c>
      <c r="E45" s="7" t="s">
        <v>110</v>
      </c>
      <c r="F45" s="44">
        <v>211306</v>
      </c>
      <c r="G45" s="17">
        <f t="shared" si="0"/>
        <v>16</v>
      </c>
      <c r="H45" s="25">
        <f t="shared" si="1"/>
        <v>4</v>
      </c>
      <c r="I45" s="21">
        <f t="shared" si="2"/>
        <v>25</v>
      </c>
      <c r="J45" s="37">
        <f t="shared" si="3"/>
        <v>12</v>
      </c>
      <c r="K45" s="25">
        <f t="shared" si="4"/>
        <v>4</v>
      </c>
      <c r="L45" s="21">
        <f t="shared" si="5"/>
        <v>33.333333333333329</v>
      </c>
      <c r="M45" s="17">
        <f t="shared" si="6"/>
        <v>16</v>
      </c>
      <c r="N45" s="25">
        <f t="shared" si="7"/>
        <v>1</v>
      </c>
      <c r="O45" s="30">
        <f t="shared" si="8"/>
        <v>6.25</v>
      </c>
      <c r="P45" s="17">
        <f t="shared" si="9"/>
        <v>16</v>
      </c>
      <c r="Q45" s="25">
        <f t="shared" si="10"/>
        <v>0</v>
      </c>
      <c r="R45" s="31">
        <f t="shared" si="11"/>
        <v>0</v>
      </c>
      <c r="S45" s="25">
        <f t="shared" si="12"/>
        <v>16</v>
      </c>
      <c r="T45" s="25">
        <f t="shared" si="13"/>
        <v>2</v>
      </c>
      <c r="U45" s="21">
        <f t="shared" si="14"/>
        <v>12.5</v>
      </c>
      <c r="V45" s="37">
        <f t="shared" si="15"/>
        <v>0</v>
      </c>
      <c r="W45" s="31">
        <f t="shared" si="16"/>
        <v>0</v>
      </c>
      <c r="X45" s="37">
        <f t="shared" si="17"/>
        <v>0</v>
      </c>
      <c r="Y45" s="30">
        <f t="shared" si="18"/>
        <v>0</v>
      </c>
    </row>
    <row r="46" spans="2:25" ht="15" customHeight="1" x14ac:dyDescent="0.25">
      <c r="B46" s="5" t="s">
        <v>48</v>
      </c>
      <c r="C46" s="7" t="s">
        <v>70</v>
      </c>
      <c r="D46" s="7" t="s">
        <v>105</v>
      </c>
      <c r="E46" s="7" t="s">
        <v>111</v>
      </c>
      <c r="F46" s="44">
        <v>211307</v>
      </c>
      <c r="G46" s="17">
        <f t="shared" si="0"/>
        <v>18</v>
      </c>
      <c r="H46" s="25">
        <f t="shared" si="1"/>
        <v>2</v>
      </c>
      <c r="I46" s="21">
        <f t="shared" si="2"/>
        <v>11.111111111111111</v>
      </c>
      <c r="J46" s="37">
        <f t="shared" si="3"/>
        <v>16</v>
      </c>
      <c r="K46" s="25">
        <f t="shared" si="4"/>
        <v>7</v>
      </c>
      <c r="L46" s="21">
        <f t="shared" si="5"/>
        <v>43.75</v>
      </c>
      <c r="M46" s="17">
        <f t="shared" si="6"/>
        <v>18</v>
      </c>
      <c r="N46" s="25">
        <f t="shared" si="7"/>
        <v>1</v>
      </c>
      <c r="O46" s="30">
        <f t="shared" si="8"/>
        <v>5.5555555555555554</v>
      </c>
      <c r="P46" s="17">
        <f t="shared" si="9"/>
        <v>18</v>
      </c>
      <c r="Q46" s="25">
        <f t="shared" si="10"/>
        <v>2</v>
      </c>
      <c r="R46" s="31">
        <f t="shared" si="11"/>
        <v>11.111111111111111</v>
      </c>
      <c r="S46" s="25">
        <f t="shared" si="12"/>
        <v>15</v>
      </c>
      <c r="T46" s="25">
        <f t="shared" si="13"/>
        <v>1</v>
      </c>
      <c r="U46" s="21">
        <f t="shared" si="14"/>
        <v>6.666666666666667</v>
      </c>
      <c r="V46" s="37">
        <f t="shared" si="15"/>
        <v>0</v>
      </c>
      <c r="W46" s="31">
        <f t="shared" si="16"/>
        <v>0</v>
      </c>
      <c r="X46" s="37">
        <f t="shared" si="17"/>
        <v>1</v>
      </c>
      <c r="Y46" s="30">
        <f t="shared" si="18"/>
        <v>5.5555555555555554</v>
      </c>
    </row>
    <row r="47" spans="2:25" ht="15" customHeight="1" x14ac:dyDescent="0.25">
      <c r="B47" s="5" t="s">
        <v>48</v>
      </c>
      <c r="C47" s="7" t="s">
        <v>112</v>
      </c>
      <c r="D47" s="7" t="s">
        <v>112</v>
      </c>
      <c r="E47" s="7" t="s">
        <v>113</v>
      </c>
      <c r="F47" s="44">
        <v>230107</v>
      </c>
      <c r="G47" s="17">
        <f t="shared" si="0"/>
        <v>44</v>
      </c>
      <c r="H47" s="25">
        <f t="shared" si="1"/>
        <v>6</v>
      </c>
      <c r="I47" s="21">
        <f t="shared" si="2"/>
        <v>13.636363636363635</v>
      </c>
      <c r="J47" s="37">
        <f t="shared" si="3"/>
        <v>38</v>
      </c>
      <c r="K47" s="25">
        <f t="shared" si="4"/>
        <v>12</v>
      </c>
      <c r="L47" s="21">
        <f t="shared" si="5"/>
        <v>31.578947368421051</v>
      </c>
      <c r="M47" s="17">
        <f t="shared" si="6"/>
        <v>44</v>
      </c>
      <c r="N47" s="25">
        <f t="shared" si="7"/>
        <v>3</v>
      </c>
      <c r="O47" s="30">
        <f t="shared" si="8"/>
        <v>6.8181818181818175</v>
      </c>
      <c r="P47" s="17">
        <f t="shared" si="9"/>
        <v>44</v>
      </c>
      <c r="Q47" s="25">
        <f t="shared" si="10"/>
        <v>2</v>
      </c>
      <c r="R47" s="31">
        <f t="shared" si="11"/>
        <v>4.5454545454545459</v>
      </c>
      <c r="S47" s="25">
        <f t="shared" si="12"/>
        <v>41</v>
      </c>
      <c r="T47" s="25">
        <f t="shared" si="13"/>
        <v>5</v>
      </c>
      <c r="U47" s="21">
        <f t="shared" si="14"/>
        <v>12.195121951219512</v>
      </c>
      <c r="V47" s="37">
        <f t="shared" si="15"/>
        <v>1</v>
      </c>
      <c r="W47" s="31">
        <f t="shared" si="16"/>
        <v>2.2727272727272729</v>
      </c>
      <c r="X47" s="37">
        <f t="shared" si="17"/>
        <v>0</v>
      </c>
      <c r="Y47" s="30">
        <f t="shared" si="18"/>
        <v>0</v>
      </c>
    </row>
    <row r="48" spans="2:25" ht="15" customHeight="1" thickBot="1" x14ac:dyDescent="0.3">
      <c r="B48" s="5" t="s">
        <v>48</v>
      </c>
      <c r="C48" s="7" t="s">
        <v>112</v>
      </c>
      <c r="D48" s="7" t="s">
        <v>114</v>
      </c>
      <c r="E48" s="7" t="s">
        <v>114</v>
      </c>
      <c r="F48" s="44">
        <v>230401</v>
      </c>
      <c r="G48" s="17">
        <f t="shared" si="0"/>
        <v>92</v>
      </c>
      <c r="H48" s="25">
        <f t="shared" si="1"/>
        <v>8</v>
      </c>
      <c r="I48" s="21">
        <f t="shared" si="2"/>
        <v>8.695652173913043</v>
      </c>
      <c r="J48" s="37">
        <f t="shared" si="3"/>
        <v>84</v>
      </c>
      <c r="K48" s="25">
        <f t="shared" si="4"/>
        <v>34</v>
      </c>
      <c r="L48" s="21">
        <f t="shared" si="5"/>
        <v>40.476190476190474</v>
      </c>
      <c r="M48" s="17">
        <f t="shared" si="6"/>
        <v>92</v>
      </c>
      <c r="N48" s="25">
        <f t="shared" si="7"/>
        <v>2</v>
      </c>
      <c r="O48" s="30">
        <f t="shared" si="8"/>
        <v>2.1739130434782608</v>
      </c>
      <c r="P48" s="17">
        <f t="shared" si="9"/>
        <v>92</v>
      </c>
      <c r="Q48" s="25">
        <f t="shared" si="10"/>
        <v>0</v>
      </c>
      <c r="R48" s="31">
        <f t="shared" si="11"/>
        <v>0</v>
      </c>
      <c r="S48" s="25">
        <f t="shared" si="12"/>
        <v>85</v>
      </c>
      <c r="T48" s="25">
        <f t="shared" si="13"/>
        <v>8</v>
      </c>
      <c r="U48" s="21">
        <f t="shared" si="14"/>
        <v>9.4117647058823533</v>
      </c>
      <c r="V48" s="37">
        <f t="shared" si="15"/>
        <v>4</v>
      </c>
      <c r="W48" s="31">
        <f t="shared" si="16"/>
        <v>4.3478260869565215</v>
      </c>
      <c r="X48" s="37">
        <f t="shared" si="17"/>
        <v>3</v>
      </c>
      <c r="Y48" s="30">
        <f t="shared" si="18"/>
        <v>3.2608695652173911</v>
      </c>
    </row>
    <row r="49" spans="2:25" ht="15" customHeight="1" thickBot="1" x14ac:dyDescent="0.3">
      <c r="B49" s="81"/>
      <c r="C49" s="71"/>
      <c r="D49" s="71" t="str">
        <f>UPPER(_xlfn.CONCAT("Total ",B48))</f>
        <v>TOTAL ZONA ALTIPLÁNICA</v>
      </c>
      <c r="E49" s="71"/>
      <c r="F49" s="82"/>
      <c r="G49" s="19">
        <f>SUM(G8:G48)</f>
        <v>11557</v>
      </c>
      <c r="H49" s="27">
        <f>SUM(H8:H48)</f>
        <v>1157</v>
      </c>
      <c r="I49" s="23">
        <f>H49/G49*100</f>
        <v>10.011248593925758</v>
      </c>
      <c r="J49" s="39">
        <f>SUM(J8:J48)</f>
        <v>10400</v>
      </c>
      <c r="K49" s="27">
        <f>SUM(K8:K48)</f>
        <v>3553</v>
      </c>
      <c r="L49" s="23">
        <f>K49/J49*100</f>
        <v>34.16346153846154</v>
      </c>
      <c r="M49" s="19">
        <f>SUM(M8:M48)</f>
        <v>11557</v>
      </c>
      <c r="N49" s="27">
        <f>SUM(N8:N48)</f>
        <v>260</v>
      </c>
      <c r="O49" s="34">
        <f>N49/M49*100</f>
        <v>2.2497187851518561</v>
      </c>
      <c r="P49" s="19">
        <f>SUM(P8:P48)</f>
        <v>11557</v>
      </c>
      <c r="Q49" s="27">
        <f>SUM(Q8:Q48)</f>
        <v>110</v>
      </c>
      <c r="R49" s="35">
        <f>Q49/P49*100</f>
        <v>0.95180410141040062</v>
      </c>
      <c r="S49" s="70">
        <f>SUM(S8:S48)</f>
        <v>10630</v>
      </c>
      <c r="T49" s="19">
        <f>SUM(T8:T48)</f>
        <v>529</v>
      </c>
      <c r="U49" s="35">
        <f>T49/S49*100</f>
        <v>4.9764816556914395</v>
      </c>
      <c r="V49" s="39">
        <f>SUM(V8:V48)</f>
        <v>704</v>
      </c>
      <c r="W49" s="35">
        <f>V49/P49*100</f>
        <v>6.0915462490265639</v>
      </c>
      <c r="X49" s="39">
        <f>SUM(X8:X48)</f>
        <v>113</v>
      </c>
      <c r="Y49" s="34">
        <f>X49/P49*100</f>
        <v>0.97776239508522966</v>
      </c>
    </row>
    <row r="50" spans="2:25" ht="15" customHeight="1" x14ac:dyDescent="0.25">
      <c r="B50" s="5" t="s">
        <v>115</v>
      </c>
      <c r="C50" s="7" t="s">
        <v>116</v>
      </c>
      <c r="D50" s="7" t="s">
        <v>117</v>
      </c>
      <c r="E50" s="7" t="s">
        <v>118</v>
      </c>
      <c r="F50" s="44">
        <v>170301</v>
      </c>
      <c r="G50" s="17">
        <f>IFERROR(VLOOKUP($F50,distrito035,2,0),"-")</f>
        <v>101</v>
      </c>
      <c r="H50" s="25">
        <f>IFERROR(VLOOKUP($F50,distrito035,3,0),"-")</f>
        <v>10</v>
      </c>
      <c r="I50" s="21">
        <f>IFERROR(VLOOKUP($F50,distrito035,4,0),"-")</f>
        <v>9.9009900990099009</v>
      </c>
      <c r="J50" s="37">
        <f>IFERROR(VLOOKUP($F50,distrito035,5,0),"-")</f>
        <v>91</v>
      </c>
      <c r="K50" s="25">
        <f>IFERROR(VLOOKUP($F50,distrito035,6,0),"-")</f>
        <v>25</v>
      </c>
      <c r="L50" s="21">
        <f>IFERROR(VLOOKUP($F50,distrito035,7,0),"-")</f>
        <v>27.472527472527474</v>
      </c>
      <c r="M50" s="17">
        <f>IFERROR(VLOOKUP($F50,distrito035,8,0),"-")</f>
        <v>101</v>
      </c>
      <c r="N50" s="25">
        <f>IFERROR(VLOOKUP($F50,distrito035,9,0),"-")</f>
        <v>3</v>
      </c>
      <c r="O50" s="30">
        <f>IFERROR(VLOOKUP($F50,distrito035,10,0),"-")</f>
        <v>2.9702970297029703</v>
      </c>
      <c r="P50" s="17">
        <f>IFERROR(VLOOKUP($F50,distrito035,11,0),"-")</f>
        <v>101</v>
      </c>
      <c r="Q50" s="25">
        <f>IFERROR(VLOOKUP($F50,distrito035,12,0),"-")</f>
        <v>1</v>
      </c>
      <c r="R50" s="31">
        <f>IFERROR(VLOOKUP($F50,distrito035,13,0),"-")</f>
        <v>0.99009900990099009</v>
      </c>
      <c r="S50" s="25">
        <f>IFERROR(VLOOKUP($F50,distrito035,14,0),"-")</f>
        <v>90</v>
      </c>
      <c r="T50" s="25">
        <f>IFERROR(VLOOKUP($F50,distrito035,15,0),"-")</f>
        <v>2</v>
      </c>
      <c r="U50" s="21">
        <f>IFERROR(VLOOKUP($F50,distrito035,16,0),"-")</f>
        <v>2.2222222222222223</v>
      </c>
      <c r="V50" s="37">
        <f>IFERROR(VLOOKUP($F50,distrito035,17,0),"-")</f>
        <v>7</v>
      </c>
      <c r="W50" s="31">
        <f>IFERROR(VLOOKUP($F50,distrito035,18,0),"-")</f>
        <v>6.9306930693069315</v>
      </c>
      <c r="X50" s="37">
        <f>IFERROR(VLOOKUP($F50,distrito035,19,0),"-")</f>
        <v>3</v>
      </c>
      <c r="Y50" s="30">
        <f>IFERROR(VLOOKUP($F50,distrito035,20,0),"-")</f>
        <v>2.9702970297029703</v>
      </c>
    </row>
    <row r="51" spans="2:25" ht="15" customHeight="1" x14ac:dyDescent="0.25">
      <c r="B51" s="5" t="s">
        <v>115</v>
      </c>
      <c r="C51" s="7" t="s">
        <v>116</v>
      </c>
      <c r="D51" s="7" t="s">
        <v>117</v>
      </c>
      <c r="E51" s="7" t="s">
        <v>119</v>
      </c>
      <c r="F51" s="44">
        <v>170302</v>
      </c>
      <c r="G51" s="17">
        <f>IFERROR(VLOOKUP($F51,distrito035,2,0),"-")</f>
        <v>291</v>
      </c>
      <c r="H51" s="25">
        <f>IFERROR(VLOOKUP($F51,distrito035,3,0),"-")</f>
        <v>40</v>
      </c>
      <c r="I51" s="21">
        <f>IFERROR(VLOOKUP($F51,distrito035,4,0),"-")</f>
        <v>13.745704467353953</v>
      </c>
      <c r="J51" s="37">
        <f>IFERROR(VLOOKUP($F51,distrito035,5,0),"-")</f>
        <v>251</v>
      </c>
      <c r="K51" s="25">
        <f>IFERROR(VLOOKUP($F51,distrito035,6,0),"-")</f>
        <v>81</v>
      </c>
      <c r="L51" s="21">
        <f>IFERROR(VLOOKUP($F51,distrito035,7,0),"-")</f>
        <v>32.270916334661351</v>
      </c>
      <c r="M51" s="17">
        <f>IFERROR(VLOOKUP($F51,distrito035,8,0),"-")</f>
        <v>291</v>
      </c>
      <c r="N51" s="25">
        <f>IFERROR(VLOOKUP($F51,distrito035,9,0),"-")</f>
        <v>9</v>
      </c>
      <c r="O51" s="30">
        <f>IFERROR(VLOOKUP($F51,distrito035,10,0),"-")</f>
        <v>3.0927835051546393</v>
      </c>
      <c r="P51" s="17">
        <f>IFERROR(VLOOKUP($F51,distrito035,11,0),"-")</f>
        <v>291</v>
      </c>
      <c r="Q51" s="25">
        <f>IFERROR(VLOOKUP($F51,distrito035,12,0),"-")</f>
        <v>3</v>
      </c>
      <c r="R51" s="31">
        <f>IFERROR(VLOOKUP($F51,distrito035,13,0),"-")</f>
        <v>1.0309278350515463</v>
      </c>
      <c r="S51" s="25">
        <f>IFERROR(VLOOKUP($F51,distrito035,14,0),"-")</f>
        <v>269</v>
      </c>
      <c r="T51" s="25">
        <f>IFERROR(VLOOKUP($F51,distrito035,15,0),"-")</f>
        <v>21</v>
      </c>
      <c r="U51" s="21">
        <f>IFERROR(VLOOKUP($F51,distrito035,16,0),"-")</f>
        <v>7.8066914498141262</v>
      </c>
      <c r="V51" s="37">
        <f>IFERROR(VLOOKUP($F51,distrito035,17,0),"-")</f>
        <v>14</v>
      </c>
      <c r="W51" s="31">
        <f>IFERROR(VLOOKUP($F51,distrito035,18,0),"-")</f>
        <v>4.8109965635738838</v>
      </c>
      <c r="X51" s="37">
        <f>IFERROR(VLOOKUP($F51,distrito035,19,0),"-")</f>
        <v>5</v>
      </c>
      <c r="Y51" s="30">
        <f>IFERROR(VLOOKUP($F51,distrito035,20,0),"-")</f>
        <v>1.7182130584192441</v>
      </c>
    </row>
    <row r="52" spans="2:25" ht="15" customHeight="1" x14ac:dyDescent="0.25">
      <c r="B52" s="5" t="s">
        <v>115</v>
      </c>
      <c r="C52" s="7" t="s">
        <v>116</v>
      </c>
      <c r="D52" s="7" t="s">
        <v>117</v>
      </c>
      <c r="E52" s="7" t="s">
        <v>117</v>
      </c>
      <c r="F52" s="44">
        <v>170303</v>
      </c>
      <c r="G52" s="17">
        <f>IFERROR(VLOOKUP($F52,distrito035,2,0),"-")</f>
        <v>270</v>
      </c>
      <c r="H52" s="25">
        <f>IFERROR(VLOOKUP($F52,distrito035,3,0),"-")</f>
        <v>45</v>
      </c>
      <c r="I52" s="21">
        <f>IFERROR(VLOOKUP($F52,distrito035,4,0),"-")</f>
        <v>16.666666666666664</v>
      </c>
      <c r="J52" s="37">
        <f>IFERROR(VLOOKUP($F52,distrito035,5,0),"-")</f>
        <v>225</v>
      </c>
      <c r="K52" s="25">
        <f>IFERROR(VLOOKUP($F52,distrito035,6,0),"-")</f>
        <v>85</v>
      </c>
      <c r="L52" s="21">
        <f>IFERROR(VLOOKUP($F52,distrito035,7,0),"-")</f>
        <v>37.777777777777779</v>
      </c>
      <c r="M52" s="17">
        <f>IFERROR(VLOOKUP($F52,distrito035,8,0),"-")</f>
        <v>270</v>
      </c>
      <c r="N52" s="25">
        <f>IFERROR(VLOOKUP($F52,distrito035,9,0),"-")</f>
        <v>20</v>
      </c>
      <c r="O52" s="30">
        <f>IFERROR(VLOOKUP($F52,distrito035,10,0),"-")</f>
        <v>7.4074074074074066</v>
      </c>
      <c r="P52" s="17">
        <f>IFERROR(VLOOKUP($F52,distrito035,11,0),"-")</f>
        <v>270</v>
      </c>
      <c r="Q52" s="25">
        <f>IFERROR(VLOOKUP($F52,distrito035,12,0),"-")</f>
        <v>9</v>
      </c>
      <c r="R52" s="31">
        <f>IFERROR(VLOOKUP($F52,distrito035,13,0),"-")</f>
        <v>3.3333333333333335</v>
      </c>
      <c r="S52" s="25">
        <f>IFERROR(VLOOKUP($F52,distrito035,14,0),"-")</f>
        <v>246</v>
      </c>
      <c r="T52" s="25">
        <f>IFERROR(VLOOKUP($F52,distrito035,15,0),"-")</f>
        <v>35</v>
      </c>
      <c r="U52" s="21">
        <f>IFERROR(VLOOKUP($F52,distrito035,16,0),"-")</f>
        <v>14.227642276422763</v>
      </c>
      <c r="V52" s="37">
        <f>IFERROR(VLOOKUP($F52,distrito035,17,0),"-")</f>
        <v>12</v>
      </c>
      <c r="W52" s="31">
        <f>IFERROR(VLOOKUP($F52,distrito035,18,0),"-")</f>
        <v>4.4444444444444446</v>
      </c>
      <c r="X52" s="37">
        <f>IFERROR(VLOOKUP($F52,distrito035,19,0),"-")</f>
        <v>3</v>
      </c>
      <c r="Y52" s="30">
        <f>IFERROR(VLOOKUP($F52,distrito035,20,0),"-")</f>
        <v>1.1111111111111112</v>
      </c>
    </row>
    <row r="53" spans="2:25" ht="15" customHeight="1" x14ac:dyDescent="0.25">
      <c r="B53" s="5" t="s">
        <v>115</v>
      </c>
      <c r="C53" s="7" t="s">
        <v>116</v>
      </c>
      <c r="D53" s="7" t="s">
        <v>120</v>
      </c>
      <c r="E53" s="7" t="s">
        <v>120</v>
      </c>
      <c r="F53" s="44">
        <v>170101</v>
      </c>
      <c r="G53" s="17">
        <f>IFERROR(VLOOKUP($F53,distrito035,2,0),"-")</f>
        <v>4383</v>
      </c>
      <c r="H53" s="25">
        <f>IFERROR(VLOOKUP($F53,distrito035,3,0),"-")</f>
        <v>355</v>
      </c>
      <c r="I53" s="21">
        <f>IFERROR(VLOOKUP($F53,distrito035,4,0),"-")</f>
        <v>8.0994752452658005</v>
      </c>
      <c r="J53" s="37">
        <f>IFERROR(VLOOKUP($F53,distrito035,5,0),"-")</f>
        <v>4028</v>
      </c>
      <c r="K53" s="25">
        <f>IFERROR(VLOOKUP($F53,distrito035,6,0),"-")</f>
        <v>1013</v>
      </c>
      <c r="L53" s="21">
        <f>IFERROR(VLOOKUP($F53,distrito035,7,0),"-")</f>
        <v>25.148957298907646</v>
      </c>
      <c r="M53" s="17">
        <f>IFERROR(VLOOKUP($F53,distrito035,8,0),"-")</f>
        <v>4383</v>
      </c>
      <c r="N53" s="25">
        <f>IFERROR(VLOOKUP($F53,distrito035,9,0),"-")</f>
        <v>145</v>
      </c>
      <c r="O53" s="30">
        <f>IFERROR(VLOOKUP($F53,distrito035,10,0),"-")</f>
        <v>3.3082363677846227</v>
      </c>
      <c r="P53" s="17">
        <f>IFERROR(VLOOKUP($F53,distrito035,11,0),"-")</f>
        <v>4383</v>
      </c>
      <c r="Q53" s="25">
        <f>IFERROR(VLOOKUP($F53,distrito035,12,0),"-")</f>
        <v>86</v>
      </c>
      <c r="R53" s="31">
        <f>IFERROR(VLOOKUP($F53,distrito035,13,0),"-")</f>
        <v>1.9621263974446725</v>
      </c>
      <c r="S53" s="25">
        <f>IFERROR(VLOOKUP($F53,distrito035,14,0),"-")</f>
        <v>4025</v>
      </c>
      <c r="T53" s="25">
        <f>IFERROR(VLOOKUP($F53,distrito035,15,0),"-")</f>
        <v>392</v>
      </c>
      <c r="U53" s="21">
        <f>IFERROR(VLOOKUP($F53,distrito035,16,0),"-")</f>
        <v>9.7391304347826093</v>
      </c>
      <c r="V53" s="37">
        <f>IFERROR(VLOOKUP($F53,distrito035,17,0),"-")</f>
        <v>215</v>
      </c>
      <c r="W53" s="31">
        <f>IFERROR(VLOOKUP($F53,distrito035,18,0),"-")</f>
        <v>4.9053159936116817</v>
      </c>
      <c r="X53" s="37">
        <f>IFERROR(VLOOKUP($F53,distrito035,19,0),"-")</f>
        <v>57</v>
      </c>
      <c r="Y53" s="30">
        <f>IFERROR(VLOOKUP($F53,distrito035,20,0),"-")</f>
        <v>1.3004791238877482</v>
      </c>
    </row>
    <row r="54" spans="2:25" ht="15" customHeight="1" thickBot="1" x14ac:dyDescent="0.3">
      <c r="B54" s="5" t="s">
        <v>115</v>
      </c>
      <c r="C54" s="7" t="s">
        <v>116</v>
      </c>
      <c r="D54" s="7" t="s">
        <v>120</v>
      </c>
      <c r="E54" s="7" t="s">
        <v>121</v>
      </c>
      <c r="F54" s="44">
        <v>170103</v>
      </c>
      <c r="G54" s="17">
        <f>IFERROR(VLOOKUP($F54,distrito035,2,0),"-")</f>
        <v>1053</v>
      </c>
      <c r="H54" s="25">
        <f>IFERROR(VLOOKUP($F54,distrito035,3,0),"-")</f>
        <v>133</v>
      </c>
      <c r="I54" s="21">
        <f>IFERROR(VLOOKUP($F54,distrito035,4,0),"-")</f>
        <v>12.630579297245964</v>
      </c>
      <c r="J54" s="37">
        <f>IFERROR(VLOOKUP($F54,distrito035,5,0),"-")</f>
        <v>920</v>
      </c>
      <c r="K54" s="25">
        <f>IFERROR(VLOOKUP($F54,distrito035,6,0),"-")</f>
        <v>282</v>
      </c>
      <c r="L54" s="21">
        <f>IFERROR(VLOOKUP($F54,distrito035,7,0),"-")</f>
        <v>30.65217391304348</v>
      </c>
      <c r="M54" s="17">
        <f>IFERROR(VLOOKUP($F54,distrito035,8,0),"-")</f>
        <v>1053</v>
      </c>
      <c r="N54" s="25">
        <f>IFERROR(VLOOKUP($F54,distrito035,9,0),"-")</f>
        <v>37</v>
      </c>
      <c r="O54" s="30">
        <f>IFERROR(VLOOKUP($F54,distrito035,10,0),"-")</f>
        <v>3.5137701804368469</v>
      </c>
      <c r="P54" s="17">
        <f>IFERROR(VLOOKUP($F54,distrito035,11,0),"-")</f>
        <v>1053</v>
      </c>
      <c r="Q54" s="25">
        <f>IFERROR(VLOOKUP($F54,distrito035,12,0),"-")</f>
        <v>22</v>
      </c>
      <c r="R54" s="31">
        <f>IFERROR(VLOOKUP($F54,distrito035,13,0),"-")</f>
        <v>2.0892687559354228</v>
      </c>
      <c r="S54" s="25">
        <f>IFERROR(VLOOKUP($F54,distrito035,14,0),"-")</f>
        <v>950</v>
      </c>
      <c r="T54" s="25">
        <f>IFERROR(VLOOKUP($F54,distrito035,15,0),"-")</f>
        <v>97</v>
      </c>
      <c r="U54" s="21">
        <f>IFERROR(VLOOKUP($F54,distrito035,16,0),"-")</f>
        <v>10.210526315789474</v>
      </c>
      <c r="V54" s="37">
        <f>IFERROR(VLOOKUP($F54,distrito035,17,0),"-")</f>
        <v>64</v>
      </c>
      <c r="W54" s="31">
        <f>IFERROR(VLOOKUP($F54,distrito035,18,0),"-")</f>
        <v>6.0778727445394116</v>
      </c>
      <c r="X54" s="37">
        <f>IFERROR(VLOOKUP($F54,distrito035,19,0),"-")</f>
        <v>17</v>
      </c>
      <c r="Y54" s="30">
        <f>IFERROR(VLOOKUP($F54,distrito035,20,0),"-")</f>
        <v>1.6144349477682813</v>
      </c>
    </row>
    <row r="55" spans="2:25" ht="15" customHeight="1" thickBot="1" x14ac:dyDescent="0.3">
      <c r="B55" s="81"/>
      <c r="C55" s="71"/>
      <c r="D55" s="71" t="str">
        <f>UPPER(_xlfn.CONCAT("Total ",B54))</f>
        <v>TOTAL ZONA AMAZÓNICA ARTICULADA</v>
      </c>
      <c r="E55" s="71"/>
      <c r="F55" s="82"/>
      <c r="G55" s="19">
        <f>SUM(G50:G54)</f>
        <v>6098</v>
      </c>
      <c r="H55" s="27">
        <f>SUM(H50:H54)</f>
        <v>583</v>
      </c>
      <c r="I55" s="23">
        <f>H55/G55*100</f>
        <v>9.5605116431616928</v>
      </c>
      <c r="J55" s="39">
        <f>SUM(J50:J54)</f>
        <v>5515</v>
      </c>
      <c r="K55" s="27">
        <f>SUM(K50:K54)</f>
        <v>1486</v>
      </c>
      <c r="L55" s="23">
        <f>K55/J55*100</f>
        <v>26.944696282864918</v>
      </c>
      <c r="M55" s="19">
        <f>SUM(M50:M54)</f>
        <v>6098</v>
      </c>
      <c r="N55" s="27">
        <f>SUM(N50:N54)</f>
        <v>214</v>
      </c>
      <c r="O55" s="34">
        <f>N55/M55*100</f>
        <v>3.5093473269924571</v>
      </c>
      <c r="P55" s="19">
        <f>SUM(P50:P54)</f>
        <v>6098</v>
      </c>
      <c r="Q55" s="27">
        <f>SUM(Q50:Q54)</f>
        <v>121</v>
      </c>
      <c r="R55" s="35">
        <f>Q55/P55*100</f>
        <v>1.984257133486389</v>
      </c>
      <c r="S55" s="70">
        <f>SUM(S50:S54)</f>
        <v>5580</v>
      </c>
      <c r="T55" s="19">
        <f>SUM(T50:T54)</f>
        <v>547</v>
      </c>
      <c r="U55" s="35">
        <f>T55/S55*100</f>
        <v>9.8028673835125453</v>
      </c>
      <c r="V55" s="39">
        <f>SUM(V50:V54)</f>
        <v>312</v>
      </c>
      <c r="W55" s="35">
        <f>V55/P55*100</f>
        <v>5.1164316169235811</v>
      </c>
      <c r="X55" s="39">
        <f>SUM(X50:X54)</f>
        <v>85</v>
      </c>
      <c r="Y55" s="34">
        <f>X55/P55*100</f>
        <v>1.3938996392259757</v>
      </c>
    </row>
    <row r="56" spans="2:25" ht="15" customHeight="1" x14ac:dyDescent="0.25">
      <c r="B56" s="5" t="s">
        <v>122</v>
      </c>
      <c r="C56" s="7" t="s">
        <v>123</v>
      </c>
      <c r="D56" s="7" t="s">
        <v>124</v>
      </c>
      <c r="E56" s="7" t="s">
        <v>125</v>
      </c>
      <c r="F56" s="44">
        <v>10205</v>
      </c>
      <c r="G56" s="17">
        <f t="shared" ref="G56:G76" si="19">IFERROR(VLOOKUP($F56,distrito035,2,0),"-")</f>
        <v>4897</v>
      </c>
      <c r="H56" s="25">
        <f t="shared" ref="H56:H76" si="20">IFERROR(VLOOKUP($F56,distrito035,3,0),"-")</f>
        <v>1627</v>
      </c>
      <c r="I56" s="21">
        <f t="shared" ref="I56:I76" si="21">IFERROR(VLOOKUP($F56,distrito035,4,0),"-")</f>
        <v>33.224423116193584</v>
      </c>
      <c r="J56" s="37">
        <f t="shared" ref="J56:J76" si="22">IFERROR(VLOOKUP($F56,distrito035,5,0),"-")</f>
        <v>3270</v>
      </c>
      <c r="K56" s="25">
        <f t="shared" ref="K56:K76" si="23">IFERROR(VLOOKUP($F56,distrito035,6,0),"-")</f>
        <v>1750</v>
      </c>
      <c r="L56" s="21">
        <f t="shared" ref="L56:L76" si="24">IFERROR(VLOOKUP($F56,distrito035,7,0),"-")</f>
        <v>53.516819571865447</v>
      </c>
      <c r="M56" s="17">
        <f t="shared" ref="M56:M76" si="25">IFERROR(VLOOKUP($F56,distrito035,8,0),"-")</f>
        <v>4897</v>
      </c>
      <c r="N56" s="25">
        <f t="shared" ref="N56:N76" si="26">IFERROR(VLOOKUP($F56,distrito035,9,0),"-")</f>
        <v>296</v>
      </c>
      <c r="O56" s="30">
        <f t="shared" ref="O56:O76" si="27">IFERROR(VLOOKUP($F56,distrito035,10,0),"-")</f>
        <v>6.0445170512558715</v>
      </c>
      <c r="P56" s="17">
        <f t="shared" ref="P56:P76" si="28">IFERROR(VLOOKUP($F56,distrito035,11,0),"-")</f>
        <v>4897</v>
      </c>
      <c r="Q56" s="25">
        <f t="shared" ref="Q56:Q76" si="29">IFERROR(VLOOKUP($F56,distrito035,12,0),"-")</f>
        <v>100</v>
      </c>
      <c r="R56" s="31">
        <f t="shared" ref="R56:R76" si="30">IFERROR(VLOOKUP($F56,distrito035,13,0),"-")</f>
        <v>2.0420665713702264</v>
      </c>
      <c r="S56" s="25">
        <f t="shared" ref="S56:S76" si="31">IFERROR(VLOOKUP($F56,distrito035,14,0),"-")</f>
        <v>4371</v>
      </c>
      <c r="T56" s="25">
        <f t="shared" ref="T56:T76" si="32">IFERROR(VLOOKUP($F56,distrito035,15,0),"-")</f>
        <v>269</v>
      </c>
      <c r="U56" s="21">
        <f t="shared" ref="U56:U76" si="33">IFERROR(VLOOKUP($F56,distrito035,16,0),"-")</f>
        <v>6.1541981239990848</v>
      </c>
      <c r="V56" s="37">
        <f t="shared" ref="V56:V76" si="34">IFERROR(VLOOKUP($F56,distrito035,17,0),"-")</f>
        <v>333</v>
      </c>
      <c r="W56" s="31">
        <f t="shared" ref="W56:W76" si="35">IFERROR(VLOOKUP($F56,distrito035,18,0),"-")</f>
        <v>6.8000816826628547</v>
      </c>
      <c r="X56" s="37">
        <f t="shared" ref="X56:X76" si="36">IFERROR(VLOOKUP($F56,distrito035,19,0),"-")</f>
        <v>93</v>
      </c>
      <c r="Y56" s="30">
        <f t="shared" ref="Y56:Y76" si="37">IFERROR(VLOOKUP($F56,distrito035,20,0),"-")</f>
        <v>1.899121911374311</v>
      </c>
    </row>
    <row r="57" spans="2:25" ht="15" customHeight="1" x14ac:dyDescent="0.25">
      <c r="B57" s="5" t="s">
        <v>122</v>
      </c>
      <c r="C57" s="7" t="s">
        <v>123</v>
      </c>
      <c r="D57" s="7" t="s">
        <v>126</v>
      </c>
      <c r="E57" s="7" t="s">
        <v>127</v>
      </c>
      <c r="F57" s="44">
        <v>10402</v>
      </c>
      <c r="G57" s="17">
        <f t="shared" si="19"/>
        <v>2217</v>
      </c>
      <c r="H57" s="25">
        <f t="shared" si="20"/>
        <v>804</v>
      </c>
      <c r="I57" s="21">
        <f t="shared" si="21"/>
        <v>36.265223274695536</v>
      </c>
      <c r="J57" s="37">
        <f t="shared" si="22"/>
        <v>1413</v>
      </c>
      <c r="K57" s="25">
        <f t="shared" si="23"/>
        <v>784</v>
      </c>
      <c r="L57" s="21">
        <f t="shared" si="24"/>
        <v>55.484784147204522</v>
      </c>
      <c r="M57" s="17">
        <f t="shared" si="25"/>
        <v>2217</v>
      </c>
      <c r="N57" s="25">
        <f t="shared" si="26"/>
        <v>152</v>
      </c>
      <c r="O57" s="30">
        <f t="shared" si="27"/>
        <v>6.8561118628777633</v>
      </c>
      <c r="P57" s="17">
        <f t="shared" si="28"/>
        <v>2217</v>
      </c>
      <c r="Q57" s="25">
        <f t="shared" si="29"/>
        <v>36</v>
      </c>
      <c r="R57" s="31">
        <f t="shared" si="30"/>
        <v>1.6238159675236805</v>
      </c>
      <c r="S57" s="25">
        <f t="shared" si="31"/>
        <v>1927</v>
      </c>
      <c r="T57" s="25">
        <f t="shared" si="32"/>
        <v>114</v>
      </c>
      <c r="U57" s="21">
        <f t="shared" si="33"/>
        <v>5.9159314997405295</v>
      </c>
      <c r="V57" s="37">
        <f t="shared" si="34"/>
        <v>189</v>
      </c>
      <c r="W57" s="31">
        <f t="shared" si="35"/>
        <v>8.5250338294993231</v>
      </c>
      <c r="X57" s="37">
        <f t="shared" si="36"/>
        <v>65</v>
      </c>
      <c r="Y57" s="30">
        <f t="shared" si="37"/>
        <v>2.931889941362201</v>
      </c>
    </row>
    <row r="58" spans="2:25" ht="15" customHeight="1" x14ac:dyDescent="0.25">
      <c r="B58" s="5" t="s">
        <v>122</v>
      </c>
      <c r="C58" s="7" t="s">
        <v>123</v>
      </c>
      <c r="D58" s="7" t="s">
        <v>126</v>
      </c>
      <c r="E58" s="7" t="s">
        <v>128</v>
      </c>
      <c r="F58" s="44">
        <v>10403</v>
      </c>
      <c r="G58" s="17">
        <f t="shared" si="19"/>
        <v>2839</v>
      </c>
      <c r="H58" s="25">
        <f t="shared" si="20"/>
        <v>933</v>
      </c>
      <c r="I58" s="21">
        <f t="shared" si="21"/>
        <v>32.863684395914056</v>
      </c>
      <c r="J58" s="37">
        <f t="shared" si="22"/>
        <v>1906</v>
      </c>
      <c r="K58" s="25">
        <f t="shared" si="23"/>
        <v>970</v>
      </c>
      <c r="L58" s="21">
        <f t="shared" si="24"/>
        <v>50.891920251836311</v>
      </c>
      <c r="M58" s="17">
        <f t="shared" si="25"/>
        <v>2839</v>
      </c>
      <c r="N58" s="25">
        <f t="shared" si="26"/>
        <v>321</v>
      </c>
      <c r="O58" s="30">
        <f t="shared" si="27"/>
        <v>11.306798168369143</v>
      </c>
      <c r="P58" s="17">
        <f t="shared" si="28"/>
        <v>2839</v>
      </c>
      <c r="Q58" s="25">
        <f t="shared" si="29"/>
        <v>111</v>
      </c>
      <c r="R58" s="31">
        <f t="shared" si="30"/>
        <v>3.9098274040154988</v>
      </c>
      <c r="S58" s="25">
        <f t="shared" si="31"/>
        <v>2559</v>
      </c>
      <c r="T58" s="25">
        <f t="shared" si="32"/>
        <v>260</v>
      </c>
      <c r="U58" s="21">
        <f t="shared" si="33"/>
        <v>10.160218835482612</v>
      </c>
      <c r="V58" s="37">
        <f t="shared" si="34"/>
        <v>133</v>
      </c>
      <c r="W58" s="31">
        <f t="shared" si="35"/>
        <v>4.6847481507573088</v>
      </c>
      <c r="X58" s="37">
        <f t="shared" si="36"/>
        <v>36</v>
      </c>
      <c r="Y58" s="30">
        <f t="shared" si="37"/>
        <v>1.2680521310320536</v>
      </c>
    </row>
    <row r="59" spans="2:25" ht="15" customHeight="1" x14ac:dyDescent="0.25">
      <c r="B59" s="5" t="s">
        <v>122</v>
      </c>
      <c r="C59" s="7" t="s">
        <v>129</v>
      </c>
      <c r="D59" s="7" t="s">
        <v>130</v>
      </c>
      <c r="E59" s="7" t="s">
        <v>131</v>
      </c>
      <c r="F59" s="44">
        <v>160704</v>
      </c>
      <c r="G59" s="17">
        <f t="shared" si="19"/>
        <v>1477</v>
      </c>
      <c r="H59" s="25">
        <f t="shared" si="20"/>
        <v>460</v>
      </c>
      <c r="I59" s="21">
        <f t="shared" si="21"/>
        <v>31.144211238997972</v>
      </c>
      <c r="J59" s="37">
        <f t="shared" si="22"/>
        <v>1017</v>
      </c>
      <c r="K59" s="25">
        <f t="shared" si="23"/>
        <v>514</v>
      </c>
      <c r="L59" s="21">
        <f t="shared" si="24"/>
        <v>50.540806293018683</v>
      </c>
      <c r="M59" s="17">
        <f t="shared" si="25"/>
        <v>1477</v>
      </c>
      <c r="N59" s="25">
        <f t="shared" si="26"/>
        <v>154</v>
      </c>
      <c r="O59" s="30">
        <f t="shared" si="27"/>
        <v>10.42654028436019</v>
      </c>
      <c r="P59" s="17">
        <f t="shared" si="28"/>
        <v>1477</v>
      </c>
      <c r="Q59" s="25">
        <f t="shared" si="29"/>
        <v>60</v>
      </c>
      <c r="R59" s="31">
        <f t="shared" si="30"/>
        <v>4.0622884224779954</v>
      </c>
      <c r="S59" s="25">
        <f t="shared" si="31"/>
        <v>1293</v>
      </c>
      <c r="T59" s="25">
        <f t="shared" si="32"/>
        <v>141</v>
      </c>
      <c r="U59" s="21">
        <f t="shared" si="33"/>
        <v>10.904872389791183</v>
      </c>
      <c r="V59" s="37">
        <f t="shared" si="34"/>
        <v>91</v>
      </c>
      <c r="W59" s="31">
        <f t="shared" si="35"/>
        <v>6.1611374407582939</v>
      </c>
      <c r="X59" s="37">
        <f t="shared" si="36"/>
        <v>33</v>
      </c>
      <c r="Y59" s="30">
        <f t="shared" si="37"/>
        <v>2.2342586323628977</v>
      </c>
    </row>
    <row r="60" spans="2:25" ht="15" customHeight="1" x14ac:dyDescent="0.25">
      <c r="B60" s="5" t="s">
        <v>122</v>
      </c>
      <c r="C60" s="7" t="s">
        <v>129</v>
      </c>
      <c r="D60" s="7" t="s">
        <v>130</v>
      </c>
      <c r="E60" s="7" t="s">
        <v>132</v>
      </c>
      <c r="F60" s="44">
        <v>160706</v>
      </c>
      <c r="G60" s="17">
        <f t="shared" si="19"/>
        <v>2173</v>
      </c>
      <c r="H60" s="25">
        <f t="shared" si="20"/>
        <v>840</v>
      </c>
      <c r="I60" s="21">
        <f t="shared" si="21"/>
        <v>38.656235618959961</v>
      </c>
      <c r="J60" s="37">
        <f t="shared" si="22"/>
        <v>1333</v>
      </c>
      <c r="K60" s="25">
        <f t="shared" si="23"/>
        <v>643</v>
      </c>
      <c r="L60" s="21">
        <f t="shared" si="24"/>
        <v>48.23705926481621</v>
      </c>
      <c r="M60" s="17">
        <f t="shared" si="25"/>
        <v>2173</v>
      </c>
      <c r="N60" s="25">
        <f t="shared" si="26"/>
        <v>352</v>
      </c>
      <c r="O60" s="30">
        <f t="shared" si="27"/>
        <v>16.198803497468937</v>
      </c>
      <c r="P60" s="17">
        <f t="shared" si="28"/>
        <v>2173</v>
      </c>
      <c r="Q60" s="25">
        <f t="shared" si="29"/>
        <v>161</v>
      </c>
      <c r="R60" s="31">
        <f t="shared" si="30"/>
        <v>7.4091118269673268</v>
      </c>
      <c r="S60" s="25">
        <f t="shared" si="31"/>
        <v>1842</v>
      </c>
      <c r="T60" s="25">
        <f t="shared" si="32"/>
        <v>275</v>
      </c>
      <c r="U60" s="21">
        <f t="shared" si="33"/>
        <v>14.92942453854506</v>
      </c>
      <c r="V60" s="37">
        <f t="shared" si="34"/>
        <v>118</v>
      </c>
      <c r="W60" s="31">
        <f t="shared" si="35"/>
        <v>5.4302807179015185</v>
      </c>
      <c r="X60" s="37">
        <f t="shared" si="36"/>
        <v>52</v>
      </c>
      <c r="Y60" s="30">
        <f t="shared" si="37"/>
        <v>2.3930050621260928</v>
      </c>
    </row>
    <row r="61" spans="2:25" ht="15" customHeight="1" x14ac:dyDescent="0.25">
      <c r="B61" s="5" t="s">
        <v>122</v>
      </c>
      <c r="C61" s="7" t="s">
        <v>129</v>
      </c>
      <c r="D61" s="7" t="s">
        <v>133</v>
      </c>
      <c r="E61" s="7" t="s">
        <v>134</v>
      </c>
      <c r="F61" s="44">
        <v>160107</v>
      </c>
      <c r="G61" s="17">
        <f t="shared" si="19"/>
        <v>1236</v>
      </c>
      <c r="H61" s="25">
        <f t="shared" si="20"/>
        <v>337</v>
      </c>
      <c r="I61" s="21">
        <f t="shared" si="21"/>
        <v>27.265372168284792</v>
      </c>
      <c r="J61" s="37">
        <f t="shared" si="22"/>
        <v>899</v>
      </c>
      <c r="K61" s="25">
        <f t="shared" si="23"/>
        <v>418</v>
      </c>
      <c r="L61" s="21">
        <f t="shared" si="24"/>
        <v>46.496106785317018</v>
      </c>
      <c r="M61" s="17">
        <f t="shared" si="25"/>
        <v>1236</v>
      </c>
      <c r="N61" s="25">
        <f t="shared" si="26"/>
        <v>118</v>
      </c>
      <c r="O61" s="30">
        <f t="shared" si="27"/>
        <v>9.5469255663430417</v>
      </c>
      <c r="P61" s="17">
        <f t="shared" si="28"/>
        <v>1236</v>
      </c>
      <c r="Q61" s="25">
        <f t="shared" si="29"/>
        <v>42</v>
      </c>
      <c r="R61" s="31">
        <f t="shared" si="30"/>
        <v>3.3980582524271843</v>
      </c>
      <c r="S61" s="25">
        <f t="shared" si="31"/>
        <v>1125</v>
      </c>
      <c r="T61" s="25">
        <f t="shared" si="32"/>
        <v>102</v>
      </c>
      <c r="U61" s="21">
        <f t="shared" si="33"/>
        <v>9.0666666666666664</v>
      </c>
      <c r="V61" s="37">
        <f t="shared" si="34"/>
        <v>51</v>
      </c>
      <c r="W61" s="31">
        <f t="shared" si="35"/>
        <v>4.1262135922330101</v>
      </c>
      <c r="X61" s="37">
        <f t="shared" si="36"/>
        <v>18</v>
      </c>
      <c r="Y61" s="30">
        <f t="shared" si="37"/>
        <v>1.4563106796116505</v>
      </c>
    </row>
    <row r="62" spans="2:25" ht="15" customHeight="1" x14ac:dyDescent="0.25">
      <c r="B62" s="5" t="s">
        <v>122</v>
      </c>
      <c r="C62" s="7" t="s">
        <v>129</v>
      </c>
      <c r="D62" s="7" t="s">
        <v>133</v>
      </c>
      <c r="E62" s="7" t="s">
        <v>135</v>
      </c>
      <c r="F62" s="44">
        <v>160110</v>
      </c>
      <c r="G62" s="17">
        <f t="shared" si="19"/>
        <v>796</v>
      </c>
      <c r="H62" s="25">
        <f t="shared" si="20"/>
        <v>268</v>
      </c>
      <c r="I62" s="21">
        <f t="shared" si="21"/>
        <v>33.668341708542712</v>
      </c>
      <c r="J62" s="37">
        <f t="shared" si="22"/>
        <v>528</v>
      </c>
      <c r="K62" s="25">
        <f t="shared" si="23"/>
        <v>301</v>
      </c>
      <c r="L62" s="21">
        <f t="shared" si="24"/>
        <v>57.007575757575758</v>
      </c>
      <c r="M62" s="17">
        <f t="shared" si="25"/>
        <v>796</v>
      </c>
      <c r="N62" s="25">
        <f t="shared" si="26"/>
        <v>70</v>
      </c>
      <c r="O62" s="30">
        <f t="shared" si="27"/>
        <v>8.7939698492462313</v>
      </c>
      <c r="P62" s="17">
        <f t="shared" si="28"/>
        <v>796</v>
      </c>
      <c r="Q62" s="25">
        <f t="shared" si="29"/>
        <v>11</v>
      </c>
      <c r="R62" s="31">
        <f t="shared" si="30"/>
        <v>1.3819095477386936</v>
      </c>
      <c r="S62" s="25">
        <f t="shared" si="31"/>
        <v>746</v>
      </c>
      <c r="T62" s="25">
        <f t="shared" si="32"/>
        <v>46</v>
      </c>
      <c r="U62" s="21">
        <f t="shared" si="33"/>
        <v>6.1662198391420908</v>
      </c>
      <c r="V62" s="37">
        <f t="shared" si="34"/>
        <v>31</v>
      </c>
      <c r="W62" s="31">
        <f t="shared" si="35"/>
        <v>3.8944723618090453</v>
      </c>
      <c r="X62" s="37">
        <f t="shared" si="36"/>
        <v>8</v>
      </c>
      <c r="Y62" s="30">
        <f t="shared" si="37"/>
        <v>1.0050251256281406</v>
      </c>
    </row>
    <row r="63" spans="2:25" ht="15" customHeight="1" x14ac:dyDescent="0.25">
      <c r="B63" s="5" t="s">
        <v>122</v>
      </c>
      <c r="C63" s="7" t="s">
        <v>129</v>
      </c>
      <c r="D63" s="7" t="s">
        <v>129</v>
      </c>
      <c r="E63" s="7" t="s">
        <v>136</v>
      </c>
      <c r="F63" s="44">
        <v>160303</v>
      </c>
      <c r="G63" s="17">
        <f t="shared" si="19"/>
        <v>832</v>
      </c>
      <c r="H63" s="25">
        <f t="shared" si="20"/>
        <v>257</v>
      </c>
      <c r="I63" s="21">
        <f t="shared" si="21"/>
        <v>30.889423076923077</v>
      </c>
      <c r="J63" s="37">
        <f t="shared" si="22"/>
        <v>575</v>
      </c>
      <c r="K63" s="25">
        <f t="shared" si="23"/>
        <v>265</v>
      </c>
      <c r="L63" s="21">
        <f t="shared" si="24"/>
        <v>46.086956521739133</v>
      </c>
      <c r="M63" s="17">
        <f t="shared" si="25"/>
        <v>832</v>
      </c>
      <c r="N63" s="25">
        <f t="shared" si="26"/>
        <v>78</v>
      </c>
      <c r="O63" s="30">
        <f t="shared" si="27"/>
        <v>9.375</v>
      </c>
      <c r="P63" s="17">
        <f t="shared" si="28"/>
        <v>832</v>
      </c>
      <c r="Q63" s="25">
        <f t="shared" si="29"/>
        <v>52</v>
      </c>
      <c r="R63" s="31">
        <f t="shared" si="30"/>
        <v>6.25</v>
      </c>
      <c r="S63" s="25">
        <f t="shared" si="31"/>
        <v>706</v>
      </c>
      <c r="T63" s="25">
        <f t="shared" si="32"/>
        <v>92</v>
      </c>
      <c r="U63" s="21">
        <f t="shared" si="33"/>
        <v>13.031161473087819</v>
      </c>
      <c r="V63" s="37">
        <f t="shared" si="34"/>
        <v>51</v>
      </c>
      <c r="W63" s="31">
        <f t="shared" si="35"/>
        <v>6.1298076923076916</v>
      </c>
      <c r="X63" s="37">
        <f t="shared" si="36"/>
        <v>23</v>
      </c>
      <c r="Y63" s="30">
        <f t="shared" si="37"/>
        <v>2.7644230769230766</v>
      </c>
    </row>
    <row r="64" spans="2:25" ht="15" customHeight="1" x14ac:dyDescent="0.25">
      <c r="B64" s="5" t="s">
        <v>122</v>
      </c>
      <c r="C64" s="7" t="s">
        <v>129</v>
      </c>
      <c r="D64" s="7" t="s">
        <v>129</v>
      </c>
      <c r="E64" s="7" t="s">
        <v>137</v>
      </c>
      <c r="F64" s="44">
        <v>160304</v>
      </c>
      <c r="G64" s="17">
        <f t="shared" si="19"/>
        <v>1049</v>
      </c>
      <c r="H64" s="25">
        <f t="shared" si="20"/>
        <v>278</v>
      </c>
      <c r="I64" s="21">
        <f t="shared" si="21"/>
        <v>26.501429933269783</v>
      </c>
      <c r="J64" s="37">
        <f t="shared" si="22"/>
        <v>771</v>
      </c>
      <c r="K64" s="25">
        <f t="shared" si="23"/>
        <v>366</v>
      </c>
      <c r="L64" s="21">
        <f t="shared" si="24"/>
        <v>47.470817120622563</v>
      </c>
      <c r="M64" s="17">
        <f t="shared" si="25"/>
        <v>1049</v>
      </c>
      <c r="N64" s="25">
        <f t="shared" si="26"/>
        <v>70</v>
      </c>
      <c r="O64" s="30">
        <f t="shared" si="27"/>
        <v>6.6730219256434697</v>
      </c>
      <c r="P64" s="17">
        <f t="shared" si="28"/>
        <v>1049</v>
      </c>
      <c r="Q64" s="25">
        <f t="shared" si="29"/>
        <v>30</v>
      </c>
      <c r="R64" s="31">
        <f t="shared" si="30"/>
        <v>2.8598665395614873</v>
      </c>
      <c r="S64" s="25">
        <f t="shared" si="31"/>
        <v>927</v>
      </c>
      <c r="T64" s="25">
        <f t="shared" si="32"/>
        <v>77</v>
      </c>
      <c r="U64" s="21">
        <f t="shared" si="33"/>
        <v>8.3063646170442293</v>
      </c>
      <c r="V64" s="37">
        <f t="shared" si="34"/>
        <v>79</v>
      </c>
      <c r="W64" s="31">
        <f t="shared" si="35"/>
        <v>7.5309818875119161</v>
      </c>
      <c r="X64" s="37">
        <f t="shared" si="36"/>
        <v>13</v>
      </c>
      <c r="Y64" s="30">
        <f t="shared" si="37"/>
        <v>1.2392755004766445</v>
      </c>
    </row>
    <row r="65" spans="2:25" ht="15" customHeight="1" x14ac:dyDescent="0.25">
      <c r="B65" s="5" t="s">
        <v>122</v>
      </c>
      <c r="C65" s="7" t="s">
        <v>129</v>
      </c>
      <c r="D65" s="7" t="s">
        <v>138</v>
      </c>
      <c r="E65" s="7" t="s">
        <v>139</v>
      </c>
      <c r="F65" s="44">
        <v>160401</v>
      </c>
      <c r="G65" s="17">
        <f t="shared" si="19"/>
        <v>1804</v>
      </c>
      <c r="H65" s="25">
        <f t="shared" si="20"/>
        <v>490</v>
      </c>
      <c r="I65" s="21">
        <f t="shared" si="21"/>
        <v>27.161862527716185</v>
      </c>
      <c r="J65" s="37">
        <f t="shared" si="22"/>
        <v>1314</v>
      </c>
      <c r="K65" s="25">
        <f t="shared" si="23"/>
        <v>630</v>
      </c>
      <c r="L65" s="21">
        <f t="shared" si="24"/>
        <v>47.945205479452049</v>
      </c>
      <c r="M65" s="17">
        <f t="shared" si="25"/>
        <v>1804</v>
      </c>
      <c r="N65" s="25">
        <f t="shared" si="26"/>
        <v>173</v>
      </c>
      <c r="O65" s="30">
        <f t="shared" si="27"/>
        <v>9.5898004434589801</v>
      </c>
      <c r="P65" s="17">
        <f t="shared" si="28"/>
        <v>1804</v>
      </c>
      <c r="Q65" s="25">
        <f t="shared" si="29"/>
        <v>85</v>
      </c>
      <c r="R65" s="31">
        <f t="shared" si="30"/>
        <v>4.7117516629711753</v>
      </c>
      <c r="S65" s="25">
        <f t="shared" si="31"/>
        <v>1599</v>
      </c>
      <c r="T65" s="25">
        <f t="shared" si="32"/>
        <v>185</v>
      </c>
      <c r="U65" s="21">
        <f t="shared" si="33"/>
        <v>11.569731081926204</v>
      </c>
      <c r="V65" s="37">
        <f t="shared" si="34"/>
        <v>90</v>
      </c>
      <c r="W65" s="31">
        <f t="shared" si="35"/>
        <v>4.9889135254988917</v>
      </c>
      <c r="X65" s="37">
        <f t="shared" si="36"/>
        <v>30</v>
      </c>
      <c r="Y65" s="30">
        <f t="shared" si="37"/>
        <v>1.662971175166297</v>
      </c>
    </row>
    <row r="66" spans="2:25" ht="15" customHeight="1" x14ac:dyDescent="0.25">
      <c r="B66" s="5" t="s">
        <v>122</v>
      </c>
      <c r="C66" s="7" t="s">
        <v>129</v>
      </c>
      <c r="D66" s="7" t="s">
        <v>138</v>
      </c>
      <c r="E66" s="7" t="s">
        <v>140</v>
      </c>
      <c r="F66" s="44">
        <v>160403</v>
      </c>
      <c r="G66" s="17">
        <f t="shared" si="19"/>
        <v>932</v>
      </c>
      <c r="H66" s="25">
        <f t="shared" si="20"/>
        <v>176</v>
      </c>
      <c r="I66" s="21">
        <f t="shared" si="21"/>
        <v>18.884120171673821</v>
      </c>
      <c r="J66" s="37">
        <f t="shared" si="22"/>
        <v>756</v>
      </c>
      <c r="K66" s="25">
        <f t="shared" si="23"/>
        <v>286</v>
      </c>
      <c r="L66" s="21">
        <f t="shared" si="24"/>
        <v>37.830687830687829</v>
      </c>
      <c r="M66" s="17">
        <f t="shared" si="25"/>
        <v>932</v>
      </c>
      <c r="N66" s="25">
        <f t="shared" si="26"/>
        <v>55</v>
      </c>
      <c r="O66" s="30">
        <f t="shared" si="27"/>
        <v>5.9012875536480687</v>
      </c>
      <c r="P66" s="17">
        <f t="shared" si="28"/>
        <v>932</v>
      </c>
      <c r="Q66" s="25">
        <f t="shared" si="29"/>
        <v>33</v>
      </c>
      <c r="R66" s="31">
        <f t="shared" si="30"/>
        <v>3.5407725321888415</v>
      </c>
      <c r="S66" s="25">
        <f t="shared" si="31"/>
        <v>835</v>
      </c>
      <c r="T66" s="25">
        <f t="shared" si="32"/>
        <v>63</v>
      </c>
      <c r="U66" s="21">
        <f t="shared" si="33"/>
        <v>7.5449101796407181</v>
      </c>
      <c r="V66" s="37">
        <f t="shared" si="34"/>
        <v>48</v>
      </c>
      <c r="W66" s="31">
        <f t="shared" si="35"/>
        <v>5.1502145922746783</v>
      </c>
      <c r="X66" s="37">
        <f t="shared" si="36"/>
        <v>16</v>
      </c>
      <c r="Y66" s="30">
        <f t="shared" si="37"/>
        <v>1.7167381974248928</v>
      </c>
    </row>
    <row r="67" spans="2:25" ht="15" customHeight="1" x14ac:dyDescent="0.25">
      <c r="B67" s="5" t="s">
        <v>122</v>
      </c>
      <c r="C67" s="7" t="s">
        <v>129</v>
      </c>
      <c r="D67" s="7" t="s">
        <v>141</v>
      </c>
      <c r="E67" s="7" t="s">
        <v>142</v>
      </c>
      <c r="F67" s="44">
        <v>160511</v>
      </c>
      <c r="G67" s="17">
        <f t="shared" si="19"/>
        <v>260</v>
      </c>
      <c r="H67" s="25">
        <f t="shared" si="20"/>
        <v>74</v>
      </c>
      <c r="I67" s="21">
        <f t="shared" si="21"/>
        <v>28.46153846153846</v>
      </c>
      <c r="J67" s="37">
        <f t="shared" si="22"/>
        <v>186</v>
      </c>
      <c r="K67" s="25">
        <f t="shared" si="23"/>
        <v>70</v>
      </c>
      <c r="L67" s="21">
        <f t="shared" si="24"/>
        <v>37.634408602150536</v>
      </c>
      <c r="M67" s="17">
        <f t="shared" si="25"/>
        <v>260</v>
      </c>
      <c r="N67" s="25">
        <f t="shared" si="26"/>
        <v>15</v>
      </c>
      <c r="O67" s="30">
        <f t="shared" si="27"/>
        <v>5.7692307692307692</v>
      </c>
      <c r="P67" s="17">
        <f t="shared" si="28"/>
        <v>260</v>
      </c>
      <c r="Q67" s="25">
        <f t="shared" si="29"/>
        <v>7</v>
      </c>
      <c r="R67" s="31">
        <f t="shared" si="30"/>
        <v>2.6923076923076925</v>
      </c>
      <c r="S67" s="25">
        <f t="shared" si="31"/>
        <v>231</v>
      </c>
      <c r="T67" s="25">
        <f t="shared" si="32"/>
        <v>23</v>
      </c>
      <c r="U67" s="21">
        <f t="shared" si="33"/>
        <v>9.9567099567099575</v>
      </c>
      <c r="V67" s="37">
        <f t="shared" si="34"/>
        <v>17</v>
      </c>
      <c r="W67" s="31">
        <f t="shared" si="35"/>
        <v>6.5384615384615392</v>
      </c>
      <c r="X67" s="37">
        <f t="shared" si="36"/>
        <v>5</v>
      </c>
      <c r="Y67" s="30">
        <f t="shared" si="37"/>
        <v>1.9230769230769231</v>
      </c>
    </row>
    <row r="68" spans="2:25" ht="15" customHeight="1" x14ac:dyDescent="0.25">
      <c r="B68" s="5" t="s">
        <v>122</v>
      </c>
      <c r="C68" s="7" t="s">
        <v>129</v>
      </c>
      <c r="D68" s="7" t="s">
        <v>143</v>
      </c>
      <c r="E68" s="7" t="s">
        <v>143</v>
      </c>
      <c r="F68" s="44">
        <v>160801</v>
      </c>
      <c r="G68" s="17">
        <f t="shared" si="19"/>
        <v>260</v>
      </c>
      <c r="H68" s="25">
        <f t="shared" si="20"/>
        <v>54</v>
      </c>
      <c r="I68" s="21">
        <f t="shared" si="21"/>
        <v>20.76923076923077</v>
      </c>
      <c r="J68" s="37">
        <f t="shared" si="22"/>
        <v>206</v>
      </c>
      <c r="K68" s="25">
        <f t="shared" si="23"/>
        <v>84</v>
      </c>
      <c r="L68" s="21">
        <f t="shared" si="24"/>
        <v>40.776699029126213</v>
      </c>
      <c r="M68" s="17">
        <f t="shared" si="25"/>
        <v>260</v>
      </c>
      <c r="N68" s="25">
        <f t="shared" si="26"/>
        <v>17</v>
      </c>
      <c r="O68" s="30">
        <f t="shared" si="27"/>
        <v>6.5384615384615392</v>
      </c>
      <c r="P68" s="17">
        <f t="shared" si="28"/>
        <v>260</v>
      </c>
      <c r="Q68" s="25">
        <f t="shared" si="29"/>
        <v>3</v>
      </c>
      <c r="R68" s="31">
        <f t="shared" si="30"/>
        <v>1.153846153846154</v>
      </c>
      <c r="S68" s="25">
        <f t="shared" si="31"/>
        <v>239</v>
      </c>
      <c r="T68" s="25">
        <f t="shared" si="32"/>
        <v>18</v>
      </c>
      <c r="U68" s="21">
        <f t="shared" si="33"/>
        <v>7.5313807531380759</v>
      </c>
      <c r="V68" s="37">
        <f t="shared" si="34"/>
        <v>17</v>
      </c>
      <c r="W68" s="31">
        <f t="shared" si="35"/>
        <v>6.5384615384615392</v>
      </c>
      <c r="X68" s="37">
        <f t="shared" si="36"/>
        <v>1</v>
      </c>
      <c r="Y68" s="30">
        <f t="shared" si="37"/>
        <v>0.38461538461538464</v>
      </c>
    </row>
    <row r="69" spans="2:25" ht="15" customHeight="1" x14ac:dyDescent="0.25">
      <c r="B69" s="5" t="s">
        <v>122</v>
      </c>
      <c r="C69" s="7" t="s">
        <v>129</v>
      </c>
      <c r="D69" s="7" t="s">
        <v>143</v>
      </c>
      <c r="E69" s="7" t="s">
        <v>144</v>
      </c>
      <c r="F69" s="44">
        <v>160802</v>
      </c>
      <c r="G69" s="17">
        <f t="shared" si="19"/>
        <v>46</v>
      </c>
      <c r="H69" s="25">
        <f t="shared" si="20"/>
        <v>8</v>
      </c>
      <c r="I69" s="21">
        <f t="shared" si="21"/>
        <v>17.391304347826086</v>
      </c>
      <c r="J69" s="37">
        <f t="shared" si="22"/>
        <v>38</v>
      </c>
      <c r="K69" s="25">
        <f t="shared" si="23"/>
        <v>13</v>
      </c>
      <c r="L69" s="21">
        <f t="shared" si="24"/>
        <v>34.210526315789473</v>
      </c>
      <c r="M69" s="17">
        <f t="shared" si="25"/>
        <v>46</v>
      </c>
      <c r="N69" s="25">
        <f t="shared" si="26"/>
        <v>1</v>
      </c>
      <c r="O69" s="30">
        <f t="shared" si="27"/>
        <v>2.1739130434782608</v>
      </c>
      <c r="P69" s="17">
        <f t="shared" si="28"/>
        <v>46</v>
      </c>
      <c r="Q69" s="25">
        <f t="shared" si="29"/>
        <v>1</v>
      </c>
      <c r="R69" s="31">
        <f t="shared" si="30"/>
        <v>2.1739130434782608</v>
      </c>
      <c r="S69" s="25">
        <f t="shared" si="31"/>
        <v>43</v>
      </c>
      <c r="T69" s="25">
        <f t="shared" si="32"/>
        <v>5</v>
      </c>
      <c r="U69" s="21">
        <f t="shared" si="33"/>
        <v>11.627906976744185</v>
      </c>
      <c r="V69" s="37">
        <f t="shared" si="34"/>
        <v>2</v>
      </c>
      <c r="W69" s="31">
        <f t="shared" si="35"/>
        <v>4.3478260869565215</v>
      </c>
      <c r="X69" s="37">
        <f t="shared" si="36"/>
        <v>0</v>
      </c>
      <c r="Y69" s="30">
        <f t="shared" si="37"/>
        <v>0</v>
      </c>
    </row>
    <row r="70" spans="2:25" ht="15" customHeight="1" x14ac:dyDescent="0.25">
      <c r="B70" s="5" t="s">
        <v>122</v>
      </c>
      <c r="C70" s="7" t="s">
        <v>129</v>
      </c>
      <c r="D70" s="7" t="s">
        <v>143</v>
      </c>
      <c r="E70" s="7" t="s">
        <v>145</v>
      </c>
      <c r="F70" s="44">
        <v>160803</v>
      </c>
      <c r="G70" s="17">
        <f t="shared" si="19"/>
        <v>284</v>
      </c>
      <c r="H70" s="25">
        <f t="shared" si="20"/>
        <v>81</v>
      </c>
      <c r="I70" s="21">
        <f t="shared" si="21"/>
        <v>28.52112676056338</v>
      </c>
      <c r="J70" s="37">
        <f t="shared" si="22"/>
        <v>203</v>
      </c>
      <c r="K70" s="25">
        <f t="shared" si="23"/>
        <v>87</v>
      </c>
      <c r="L70" s="21">
        <f t="shared" si="24"/>
        <v>42.857142857142854</v>
      </c>
      <c r="M70" s="17">
        <f t="shared" si="25"/>
        <v>284</v>
      </c>
      <c r="N70" s="25">
        <f t="shared" si="26"/>
        <v>39</v>
      </c>
      <c r="O70" s="30">
        <f t="shared" si="27"/>
        <v>13.732394366197184</v>
      </c>
      <c r="P70" s="17">
        <f t="shared" si="28"/>
        <v>284</v>
      </c>
      <c r="Q70" s="25">
        <f t="shared" si="29"/>
        <v>20</v>
      </c>
      <c r="R70" s="31">
        <f t="shared" si="30"/>
        <v>7.042253521126761</v>
      </c>
      <c r="S70" s="25">
        <f t="shared" si="31"/>
        <v>243</v>
      </c>
      <c r="T70" s="25">
        <f t="shared" si="32"/>
        <v>35</v>
      </c>
      <c r="U70" s="21">
        <f t="shared" si="33"/>
        <v>14.403292181069959</v>
      </c>
      <c r="V70" s="37">
        <f t="shared" si="34"/>
        <v>21</v>
      </c>
      <c r="W70" s="31">
        <f t="shared" si="35"/>
        <v>7.3943661971830981</v>
      </c>
      <c r="X70" s="37">
        <f t="shared" si="36"/>
        <v>0</v>
      </c>
      <c r="Y70" s="30">
        <f t="shared" si="37"/>
        <v>0</v>
      </c>
    </row>
    <row r="71" spans="2:25" ht="15" customHeight="1" x14ac:dyDescent="0.25">
      <c r="B71" s="5" t="s">
        <v>122</v>
      </c>
      <c r="C71" s="7" t="s">
        <v>129</v>
      </c>
      <c r="D71" s="7" t="s">
        <v>143</v>
      </c>
      <c r="E71" s="7" t="s">
        <v>146</v>
      </c>
      <c r="F71" s="44">
        <v>160804</v>
      </c>
      <c r="G71" s="17">
        <f t="shared" si="19"/>
        <v>184</v>
      </c>
      <c r="H71" s="25">
        <f t="shared" si="20"/>
        <v>41</v>
      </c>
      <c r="I71" s="21">
        <f t="shared" si="21"/>
        <v>22.282608695652172</v>
      </c>
      <c r="J71" s="37">
        <f t="shared" si="22"/>
        <v>143</v>
      </c>
      <c r="K71" s="25">
        <f t="shared" si="23"/>
        <v>55</v>
      </c>
      <c r="L71" s="21">
        <f t="shared" si="24"/>
        <v>38.461538461538467</v>
      </c>
      <c r="M71" s="17">
        <f t="shared" si="25"/>
        <v>184</v>
      </c>
      <c r="N71" s="25">
        <f t="shared" si="26"/>
        <v>13</v>
      </c>
      <c r="O71" s="30">
        <f t="shared" si="27"/>
        <v>7.0652173913043477</v>
      </c>
      <c r="P71" s="17">
        <f t="shared" si="28"/>
        <v>184</v>
      </c>
      <c r="Q71" s="25">
        <f t="shared" si="29"/>
        <v>7</v>
      </c>
      <c r="R71" s="31">
        <f t="shared" si="30"/>
        <v>3.804347826086957</v>
      </c>
      <c r="S71" s="25">
        <f t="shared" si="31"/>
        <v>168</v>
      </c>
      <c r="T71" s="25">
        <f t="shared" si="32"/>
        <v>18</v>
      </c>
      <c r="U71" s="21">
        <f t="shared" si="33"/>
        <v>10.714285714285714</v>
      </c>
      <c r="V71" s="37">
        <f t="shared" si="34"/>
        <v>6</v>
      </c>
      <c r="W71" s="31">
        <f t="shared" si="35"/>
        <v>3.2608695652173911</v>
      </c>
      <c r="X71" s="37">
        <f t="shared" si="36"/>
        <v>3</v>
      </c>
      <c r="Y71" s="30">
        <f t="shared" si="37"/>
        <v>1.6304347826086956</v>
      </c>
    </row>
    <row r="72" spans="2:25" ht="15" customHeight="1" x14ac:dyDescent="0.25">
      <c r="B72" s="5" t="s">
        <v>122</v>
      </c>
      <c r="C72" s="7" t="s">
        <v>129</v>
      </c>
      <c r="D72" s="7" t="s">
        <v>141</v>
      </c>
      <c r="E72" s="7" t="s">
        <v>147</v>
      </c>
      <c r="F72" s="44">
        <v>160502</v>
      </c>
      <c r="G72" s="17">
        <f t="shared" si="19"/>
        <v>35</v>
      </c>
      <c r="H72" s="25">
        <f t="shared" si="20"/>
        <v>19</v>
      </c>
      <c r="I72" s="21">
        <f t="shared" si="21"/>
        <v>54.285714285714285</v>
      </c>
      <c r="J72" s="37">
        <f t="shared" si="22"/>
        <v>16</v>
      </c>
      <c r="K72" s="25">
        <f t="shared" si="23"/>
        <v>7</v>
      </c>
      <c r="L72" s="21">
        <f t="shared" si="24"/>
        <v>43.75</v>
      </c>
      <c r="M72" s="17">
        <f t="shared" si="25"/>
        <v>35</v>
      </c>
      <c r="N72" s="25">
        <f t="shared" si="26"/>
        <v>3</v>
      </c>
      <c r="O72" s="30">
        <f t="shared" si="27"/>
        <v>8.5714285714285712</v>
      </c>
      <c r="P72" s="17">
        <f t="shared" si="28"/>
        <v>35</v>
      </c>
      <c r="Q72" s="25">
        <f t="shared" si="29"/>
        <v>2</v>
      </c>
      <c r="R72" s="31">
        <f t="shared" si="30"/>
        <v>5.7142857142857144</v>
      </c>
      <c r="S72" s="25">
        <f t="shared" si="31"/>
        <v>29</v>
      </c>
      <c r="T72" s="25">
        <f t="shared" si="32"/>
        <v>2</v>
      </c>
      <c r="U72" s="21">
        <f t="shared" si="33"/>
        <v>6.8965517241379306</v>
      </c>
      <c r="V72" s="37">
        <f t="shared" si="34"/>
        <v>4</v>
      </c>
      <c r="W72" s="31">
        <f t="shared" si="35"/>
        <v>11.428571428571429</v>
      </c>
      <c r="X72" s="37">
        <f t="shared" si="36"/>
        <v>0</v>
      </c>
      <c r="Y72" s="30">
        <f t="shared" si="37"/>
        <v>0</v>
      </c>
    </row>
    <row r="73" spans="2:25" ht="15" customHeight="1" x14ac:dyDescent="0.25">
      <c r="B73" s="5" t="s">
        <v>122</v>
      </c>
      <c r="C73" s="7" t="s">
        <v>148</v>
      </c>
      <c r="D73" s="7" t="s">
        <v>149</v>
      </c>
      <c r="E73" s="7" t="s">
        <v>150</v>
      </c>
      <c r="F73" s="44">
        <v>250101</v>
      </c>
      <c r="G73" s="17">
        <f t="shared" si="19"/>
        <v>7511</v>
      </c>
      <c r="H73" s="25">
        <f t="shared" si="20"/>
        <v>1354</v>
      </c>
      <c r="I73" s="21">
        <f t="shared" si="21"/>
        <v>18.026893888962856</v>
      </c>
      <c r="J73" s="37">
        <f t="shared" si="22"/>
        <v>6157</v>
      </c>
      <c r="K73" s="25">
        <f t="shared" si="23"/>
        <v>2323</v>
      </c>
      <c r="L73" s="21">
        <f t="shared" si="24"/>
        <v>37.729413675491315</v>
      </c>
      <c r="M73" s="17">
        <f t="shared" si="25"/>
        <v>7511</v>
      </c>
      <c r="N73" s="25">
        <f t="shared" si="26"/>
        <v>610</v>
      </c>
      <c r="O73" s="30">
        <f t="shared" si="27"/>
        <v>8.1214219145253637</v>
      </c>
      <c r="P73" s="17">
        <f t="shared" si="28"/>
        <v>7511</v>
      </c>
      <c r="Q73" s="25">
        <f t="shared" si="29"/>
        <v>252</v>
      </c>
      <c r="R73" s="31">
        <f t="shared" si="30"/>
        <v>3.3550792171481825</v>
      </c>
      <c r="S73" s="25">
        <f t="shared" si="31"/>
        <v>6904</v>
      </c>
      <c r="T73" s="25">
        <f t="shared" si="32"/>
        <v>906</v>
      </c>
      <c r="U73" s="21">
        <f t="shared" si="33"/>
        <v>13.122827346465819</v>
      </c>
      <c r="V73" s="37">
        <f t="shared" si="34"/>
        <v>277</v>
      </c>
      <c r="W73" s="31">
        <f t="shared" si="35"/>
        <v>3.6879243775795505</v>
      </c>
      <c r="X73" s="37">
        <f t="shared" si="36"/>
        <v>78</v>
      </c>
      <c r="Y73" s="30">
        <f t="shared" si="37"/>
        <v>1.0384769005458661</v>
      </c>
    </row>
    <row r="74" spans="2:25" ht="15" customHeight="1" x14ac:dyDescent="0.25">
      <c r="B74" s="5" t="s">
        <v>122</v>
      </c>
      <c r="C74" s="7" t="s">
        <v>148</v>
      </c>
      <c r="D74" s="7" t="s">
        <v>149</v>
      </c>
      <c r="E74" s="7" t="s">
        <v>151</v>
      </c>
      <c r="F74" s="44">
        <v>250104</v>
      </c>
      <c r="G74" s="17">
        <f t="shared" si="19"/>
        <v>1314</v>
      </c>
      <c r="H74" s="25">
        <f t="shared" si="20"/>
        <v>462</v>
      </c>
      <c r="I74" s="21">
        <f t="shared" si="21"/>
        <v>35.159817351598171</v>
      </c>
      <c r="J74" s="37">
        <f t="shared" si="22"/>
        <v>852</v>
      </c>
      <c r="K74" s="25">
        <f t="shared" si="23"/>
        <v>444</v>
      </c>
      <c r="L74" s="21">
        <f t="shared" si="24"/>
        <v>52.112676056338024</v>
      </c>
      <c r="M74" s="17">
        <f t="shared" si="25"/>
        <v>1314</v>
      </c>
      <c r="N74" s="25">
        <f t="shared" si="26"/>
        <v>113</v>
      </c>
      <c r="O74" s="30">
        <f t="shared" si="27"/>
        <v>8.5996955859969546</v>
      </c>
      <c r="P74" s="17">
        <f t="shared" si="28"/>
        <v>1314</v>
      </c>
      <c r="Q74" s="25">
        <f t="shared" si="29"/>
        <v>40</v>
      </c>
      <c r="R74" s="31">
        <f t="shared" si="30"/>
        <v>3.0441400304414001</v>
      </c>
      <c r="S74" s="25">
        <f t="shared" si="31"/>
        <v>1174</v>
      </c>
      <c r="T74" s="25">
        <f t="shared" si="32"/>
        <v>89</v>
      </c>
      <c r="U74" s="21">
        <f t="shared" si="33"/>
        <v>7.5809199318568998</v>
      </c>
      <c r="V74" s="37">
        <f t="shared" si="34"/>
        <v>68</v>
      </c>
      <c r="W74" s="31">
        <f t="shared" si="35"/>
        <v>5.1750380517503807</v>
      </c>
      <c r="X74" s="37">
        <f t="shared" si="36"/>
        <v>32</v>
      </c>
      <c r="Y74" s="30">
        <f t="shared" si="37"/>
        <v>2.4353120243531201</v>
      </c>
    </row>
    <row r="75" spans="2:25" ht="15" customHeight="1" x14ac:dyDescent="0.25">
      <c r="B75" s="5" t="s">
        <v>122</v>
      </c>
      <c r="C75" s="7" t="s">
        <v>148</v>
      </c>
      <c r="D75" s="7" t="s">
        <v>152</v>
      </c>
      <c r="E75" s="7" t="s">
        <v>153</v>
      </c>
      <c r="F75" s="44">
        <v>250204</v>
      </c>
      <c r="G75" s="17">
        <f t="shared" si="19"/>
        <v>262</v>
      </c>
      <c r="H75" s="25">
        <f t="shared" si="20"/>
        <v>102</v>
      </c>
      <c r="I75" s="21">
        <f t="shared" si="21"/>
        <v>38.931297709923662</v>
      </c>
      <c r="J75" s="37">
        <f t="shared" si="22"/>
        <v>160</v>
      </c>
      <c r="K75" s="25">
        <f t="shared" si="23"/>
        <v>99</v>
      </c>
      <c r="L75" s="21">
        <f t="shared" si="24"/>
        <v>61.875</v>
      </c>
      <c r="M75" s="17">
        <f t="shared" si="25"/>
        <v>262</v>
      </c>
      <c r="N75" s="25">
        <f t="shared" si="26"/>
        <v>46</v>
      </c>
      <c r="O75" s="30">
        <f t="shared" si="27"/>
        <v>17.557251908396946</v>
      </c>
      <c r="P75" s="17">
        <f t="shared" si="28"/>
        <v>262</v>
      </c>
      <c r="Q75" s="25">
        <f t="shared" si="29"/>
        <v>19</v>
      </c>
      <c r="R75" s="31">
        <f t="shared" si="30"/>
        <v>7.2519083969465647</v>
      </c>
      <c r="S75" s="25">
        <f t="shared" si="31"/>
        <v>222</v>
      </c>
      <c r="T75" s="25">
        <f t="shared" si="32"/>
        <v>29</v>
      </c>
      <c r="U75" s="21">
        <f t="shared" si="33"/>
        <v>13.063063063063062</v>
      </c>
      <c r="V75" s="37">
        <f t="shared" si="34"/>
        <v>16</v>
      </c>
      <c r="W75" s="31">
        <f t="shared" si="35"/>
        <v>6.1068702290076331</v>
      </c>
      <c r="X75" s="37">
        <f t="shared" si="36"/>
        <v>5</v>
      </c>
      <c r="Y75" s="30">
        <f t="shared" si="37"/>
        <v>1.9083969465648856</v>
      </c>
    </row>
    <row r="76" spans="2:25" ht="15" customHeight="1" thickBot="1" x14ac:dyDescent="0.3">
      <c r="B76" s="5" t="s">
        <v>122</v>
      </c>
      <c r="C76" s="7" t="s">
        <v>148</v>
      </c>
      <c r="D76" s="7" t="s">
        <v>154</v>
      </c>
      <c r="E76" s="7" t="s">
        <v>154</v>
      </c>
      <c r="F76" s="44">
        <v>250401</v>
      </c>
      <c r="G76" s="17">
        <f t="shared" si="19"/>
        <v>328</v>
      </c>
      <c r="H76" s="25">
        <f t="shared" si="20"/>
        <v>149</v>
      </c>
      <c r="I76" s="21">
        <f t="shared" si="21"/>
        <v>45.426829268292686</v>
      </c>
      <c r="J76" s="37">
        <f t="shared" si="22"/>
        <v>179</v>
      </c>
      <c r="K76" s="25">
        <f t="shared" si="23"/>
        <v>94</v>
      </c>
      <c r="L76" s="21">
        <f t="shared" si="24"/>
        <v>52.513966480446925</v>
      </c>
      <c r="M76" s="17">
        <f t="shared" si="25"/>
        <v>328</v>
      </c>
      <c r="N76" s="25">
        <f t="shared" si="26"/>
        <v>38</v>
      </c>
      <c r="O76" s="30">
        <f t="shared" si="27"/>
        <v>11.585365853658537</v>
      </c>
      <c r="P76" s="17">
        <f t="shared" si="28"/>
        <v>328</v>
      </c>
      <c r="Q76" s="25">
        <f t="shared" si="29"/>
        <v>5</v>
      </c>
      <c r="R76" s="31">
        <f t="shared" si="30"/>
        <v>1.524390243902439</v>
      </c>
      <c r="S76" s="25">
        <f t="shared" si="31"/>
        <v>281</v>
      </c>
      <c r="T76" s="25">
        <f t="shared" si="32"/>
        <v>20</v>
      </c>
      <c r="U76" s="21">
        <f t="shared" si="33"/>
        <v>7.1174377224199299</v>
      </c>
      <c r="V76" s="37">
        <f t="shared" si="34"/>
        <v>33</v>
      </c>
      <c r="W76" s="31">
        <f t="shared" si="35"/>
        <v>10.060975609756099</v>
      </c>
      <c r="X76" s="37">
        <f t="shared" si="36"/>
        <v>9</v>
      </c>
      <c r="Y76" s="30">
        <f t="shared" si="37"/>
        <v>2.7439024390243905</v>
      </c>
    </row>
    <row r="77" spans="2:25" ht="15" customHeight="1" thickBot="1" x14ac:dyDescent="0.3">
      <c r="B77" s="81"/>
      <c r="C77" s="71"/>
      <c r="D77" s="71" t="str">
        <f>UPPER(_xlfn.CONCAT("Total ",B76))</f>
        <v>TOTAL ZONA AMAZÓNICA FLUVIAL</v>
      </c>
      <c r="E77" s="71"/>
      <c r="F77" s="82"/>
      <c r="G77" s="19">
        <f>SUM(G56:G76)</f>
        <v>30736</v>
      </c>
      <c r="H77" s="27">
        <f>SUM(H56:H76)</f>
        <v>8814</v>
      </c>
      <c r="I77" s="23">
        <f>H77/G77*100</f>
        <v>28.676470588235293</v>
      </c>
      <c r="J77" s="39">
        <f>SUM(J56:J76)</f>
        <v>21922</v>
      </c>
      <c r="K77" s="27">
        <f>SUM(K56:K76)</f>
        <v>10203</v>
      </c>
      <c r="L77" s="23">
        <f>K77/J77*100</f>
        <v>46.542286287747473</v>
      </c>
      <c r="M77" s="19">
        <f>SUM(M56:M76)</f>
        <v>30736</v>
      </c>
      <c r="N77" s="27">
        <f>SUM(N56:N76)</f>
        <v>2734</v>
      </c>
      <c r="O77" s="34">
        <f>N77/M77*100</f>
        <v>8.8951067152524725</v>
      </c>
      <c r="P77" s="19">
        <f>SUM(P56:P76)</f>
        <v>30736</v>
      </c>
      <c r="Q77" s="27">
        <f>SUM(Q56:Q76)</f>
        <v>1077</v>
      </c>
      <c r="R77" s="35">
        <f>Q77/P77*100</f>
        <v>3.5040343571056738</v>
      </c>
      <c r="S77" s="70">
        <f>SUM(S56:S76)</f>
        <v>27464</v>
      </c>
      <c r="T77" s="19">
        <f>SUM(T56:T76)</f>
        <v>2769</v>
      </c>
      <c r="U77" s="35">
        <f>T77/S77*100</f>
        <v>10.082289542674046</v>
      </c>
      <c r="V77" s="39">
        <f>SUM(V56:V76)</f>
        <v>1675</v>
      </c>
      <c r="W77" s="35">
        <f>V77/P77*100</f>
        <v>5.4496356064549714</v>
      </c>
      <c r="X77" s="39">
        <f>SUM(X56:X76)</f>
        <v>520</v>
      </c>
      <c r="Y77" s="34">
        <f>X77/P77*100</f>
        <v>1.691827173347215</v>
      </c>
    </row>
    <row r="78" spans="2:25" ht="15" customHeight="1" x14ac:dyDescent="0.25">
      <c r="B78" s="5" t="s">
        <v>47</v>
      </c>
      <c r="C78" s="7" t="s">
        <v>155</v>
      </c>
      <c r="D78" s="7" t="s">
        <v>156</v>
      </c>
      <c r="E78" s="7" t="s">
        <v>157</v>
      </c>
      <c r="F78" s="44">
        <v>60903</v>
      </c>
      <c r="G78" s="17">
        <f t="shared" ref="G78:G92" si="38">IFERROR(VLOOKUP($F78,distrito035,2,0),"-")</f>
        <v>965</v>
      </c>
      <c r="H78" s="25">
        <f t="shared" ref="H78:H92" si="39">IFERROR(VLOOKUP($F78,distrito035,3,0),"-")</f>
        <v>124</v>
      </c>
      <c r="I78" s="21">
        <f t="shared" ref="I78:I92" si="40">IFERROR(VLOOKUP($F78,distrito035,4,0),"-")</f>
        <v>12.849740932642487</v>
      </c>
      <c r="J78" s="37">
        <f t="shared" ref="J78:J92" si="41">IFERROR(VLOOKUP($F78,distrito035,5,0),"-")</f>
        <v>841</v>
      </c>
      <c r="K78" s="25">
        <f t="shared" ref="K78:K92" si="42">IFERROR(VLOOKUP($F78,distrito035,6,0),"-")</f>
        <v>295</v>
      </c>
      <c r="L78" s="21">
        <f t="shared" ref="L78:L92" si="43">IFERROR(VLOOKUP($F78,distrito035,7,0),"-")</f>
        <v>35.077288941736029</v>
      </c>
      <c r="M78" s="17">
        <f t="shared" ref="M78:M92" si="44">IFERROR(VLOOKUP($F78,distrito035,8,0),"-")</f>
        <v>965</v>
      </c>
      <c r="N78" s="25">
        <f t="shared" ref="N78:N92" si="45">IFERROR(VLOOKUP($F78,distrito035,9,0),"-")</f>
        <v>24</v>
      </c>
      <c r="O78" s="30">
        <f t="shared" ref="O78:O92" si="46">IFERROR(VLOOKUP($F78,distrito035,10,0),"-")</f>
        <v>2.4870466321243523</v>
      </c>
      <c r="P78" s="17">
        <f t="shared" ref="P78:P92" si="47">IFERROR(VLOOKUP($F78,distrito035,11,0),"-")</f>
        <v>965</v>
      </c>
      <c r="Q78" s="25">
        <f t="shared" ref="Q78:Q92" si="48">IFERROR(VLOOKUP($F78,distrito035,12,0),"-")</f>
        <v>23</v>
      </c>
      <c r="R78" s="31">
        <f t="shared" ref="R78:R92" si="49">IFERROR(VLOOKUP($F78,distrito035,13,0),"-")</f>
        <v>2.383419689119171</v>
      </c>
      <c r="S78" s="25">
        <f t="shared" ref="S78:S92" si="50">IFERROR(VLOOKUP($F78,distrito035,14,0),"-")</f>
        <v>871</v>
      </c>
      <c r="T78" s="25">
        <f t="shared" ref="T78:T92" si="51">IFERROR(VLOOKUP($F78,distrito035,15,0),"-")</f>
        <v>63</v>
      </c>
      <c r="U78" s="21">
        <f t="shared" ref="U78:U92" si="52">IFERROR(VLOOKUP($F78,distrito035,16,0),"-")</f>
        <v>7.2330654420206653</v>
      </c>
      <c r="V78" s="37">
        <f t="shared" ref="V78:V92" si="53">IFERROR(VLOOKUP($F78,distrito035,17,0),"-")</f>
        <v>58</v>
      </c>
      <c r="W78" s="31">
        <f t="shared" ref="W78:W92" si="54">IFERROR(VLOOKUP($F78,distrito035,18,0),"-")</f>
        <v>6.0103626943005182</v>
      </c>
      <c r="X78" s="37">
        <f t="shared" ref="X78:X92" si="55">IFERROR(VLOOKUP($F78,distrito035,19,0),"-")</f>
        <v>13</v>
      </c>
      <c r="Y78" s="30">
        <f t="shared" ref="Y78:Y92" si="56">IFERROR(VLOOKUP($F78,distrito035,20,0),"-")</f>
        <v>1.3471502590673576</v>
      </c>
    </row>
    <row r="79" spans="2:25" ht="15" customHeight="1" x14ac:dyDescent="0.25">
      <c r="B79" s="5" t="s">
        <v>47</v>
      </c>
      <c r="C79" s="7" t="s">
        <v>155</v>
      </c>
      <c r="D79" s="7" t="s">
        <v>156</v>
      </c>
      <c r="E79" s="7" t="s">
        <v>158</v>
      </c>
      <c r="F79" s="44">
        <v>60906</v>
      </c>
      <c r="G79" s="17">
        <f t="shared" si="38"/>
        <v>1038</v>
      </c>
      <c r="H79" s="25">
        <f t="shared" si="39"/>
        <v>197</v>
      </c>
      <c r="I79" s="21">
        <f t="shared" si="40"/>
        <v>18.978805394990367</v>
      </c>
      <c r="J79" s="37">
        <f t="shared" si="41"/>
        <v>841</v>
      </c>
      <c r="K79" s="25">
        <f t="shared" si="42"/>
        <v>357</v>
      </c>
      <c r="L79" s="21">
        <f t="shared" si="43"/>
        <v>42.449464922711059</v>
      </c>
      <c r="M79" s="17">
        <f t="shared" si="44"/>
        <v>1038</v>
      </c>
      <c r="N79" s="25">
        <f t="shared" si="45"/>
        <v>38</v>
      </c>
      <c r="O79" s="30">
        <f t="shared" si="46"/>
        <v>3.6608863198458574</v>
      </c>
      <c r="P79" s="17">
        <f t="shared" si="47"/>
        <v>1038</v>
      </c>
      <c r="Q79" s="25">
        <f t="shared" si="48"/>
        <v>20</v>
      </c>
      <c r="R79" s="31">
        <f t="shared" si="49"/>
        <v>1.9267822736030826</v>
      </c>
      <c r="S79" s="25">
        <f t="shared" si="50"/>
        <v>958</v>
      </c>
      <c r="T79" s="25">
        <f t="shared" si="51"/>
        <v>68</v>
      </c>
      <c r="U79" s="21">
        <f t="shared" si="52"/>
        <v>7.0981210855949897</v>
      </c>
      <c r="V79" s="37">
        <f t="shared" si="53"/>
        <v>53</v>
      </c>
      <c r="W79" s="31">
        <f t="shared" si="54"/>
        <v>5.1059730250481694</v>
      </c>
      <c r="X79" s="37">
        <f t="shared" si="55"/>
        <v>7</v>
      </c>
      <c r="Y79" s="30">
        <f t="shared" si="56"/>
        <v>0.67437379576107903</v>
      </c>
    </row>
    <row r="80" spans="2:25" ht="15" customHeight="1" x14ac:dyDescent="0.25">
      <c r="B80" s="5" t="s">
        <v>47</v>
      </c>
      <c r="C80" s="7" t="s">
        <v>155</v>
      </c>
      <c r="D80" s="7" t="s">
        <v>156</v>
      </c>
      <c r="E80" s="7" t="s">
        <v>156</v>
      </c>
      <c r="F80" s="44">
        <v>60901</v>
      </c>
      <c r="G80" s="17">
        <f t="shared" si="38"/>
        <v>1616</v>
      </c>
      <c r="H80" s="25">
        <f t="shared" si="39"/>
        <v>394</v>
      </c>
      <c r="I80" s="21">
        <f t="shared" si="40"/>
        <v>24.381188118811881</v>
      </c>
      <c r="J80" s="37">
        <f t="shared" si="41"/>
        <v>1222</v>
      </c>
      <c r="K80" s="25">
        <f t="shared" si="42"/>
        <v>581</v>
      </c>
      <c r="L80" s="21">
        <f t="shared" si="43"/>
        <v>47.545008183306052</v>
      </c>
      <c r="M80" s="17">
        <f t="shared" si="44"/>
        <v>1616</v>
      </c>
      <c r="N80" s="25">
        <f t="shared" si="45"/>
        <v>112</v>
      </c>
      <c r="O80" s="30">
        <f t="shared" si="46"/>
        <v>6.9306930693069315</v>
      </c>
      <c r="P80" s="17">
        <f t="shared" si="47"/>
        <v>1616</v>
      </c>
      <c r="Q80" s="25">
        <f t="shared" si="48"/>
        <v>22</v>
      </c>
      <c r="R80" s="31">
        <f t="shared" si="49"/>
        <v>1.3613861386138615</v>
      </c>
      <c r="S80" s="25">
        <f t="shared" si="50"/>
        <v>1499</v>
      </c>
      <c r="T80" s="25">
        <f t="shared" si="51"/>
        <v>113</v>
      </c>
      <c r="U80" s="21">
        <f t="shared" si="52"/>
        <v>7.5383589059372911</v>
      </c>
      <c r="V80" s="37">
        <f t="shared" si="53"/>
        <v>77</v>
      </c>
      <c r="W80" s="31">
        <f t="shared" si="54"/>
        <v>4.7648514851485153</v>
      </c>
      <c r="X80" s="37">
        <f t="shared" si="55"/>
        <v>18</v>
      </c>
      <c r="Y80" s="30">
        <f t="shared" si="56"/>
        <v>1.1138613861386137</v>
      </c>
    </row>
    <row r="81" spans="2:25" ht="15" customHeight="1" x14ac:dyDescent="0.25">
      <c r="B81" s="5" t="s">
        <v>47</v>
      </c>
      <c r="C81" s="7" t="s">
        <v>155</v>
      </c>
      <c r="D81" s="7" t="s">
        <v>156</v>
      </c>
      <c r="E81" s="7" t="s">
        <v>159</v>
      </c>
      <c r="F81" s="44">
        <v>60905</v>
      </c>
      <c r="G81" s="17">
        <f t="shared" si="38"/>
        <v>500</v>
      </c>
      <c r="H81" s="25">
        <f t="shared" si="39"/>
        <v>103</v>
      </c>
      <c r="I81" s="21">
        <f t="shared" si="40"/>
        <v>20.599999999999998</v>
      </c>
      <c r="J81" s="37">
        <f t="shared" si="41"/>
        <v>397</v>
      </c>
      <c r="K81" s="25">
        <f t="shared" si="42"/>
        <v>185</v>
      </c>
      <c r="L81" s="21">
        <f t="shared" si="43"/>
        <v>46.59949622166247</v>
      </c>
      <c r="M81" s="17">
        <f t="shared" si="44"/>
        <v>500</v>
      </c>
      <c r="N81" s="25">
        <f t="shared" si="45"/>
        <v>23</v>
      </c>
      <c r="O81" s="30">
        <f t="shared" si="46"/>
        <v>4.5999999999999996</v>
      </c>
      <c r="P81" s="17">
        <f t="shared" si="47"/>
        <v>500</v>
      </c>
      <c r="Q81" s="25">
        <f t="shared" si="48"/>
        <v>10</v>
      </c>
      <c r="R81" s="31">
        <f t="shared" si="49"/>
        <v>2</v>
      </c>
      <c r="S81" s="25">
        <f t="shared" si="50"/>
        <v>460</v>
      </c>
      <c r="T81" s="25">
        <f t="shared" si="51"/>
        <v>34</v>
      </c>
      <c r="U81" s="21">
        <f t="shared" si="52"/>
        <v>7.3913043478260869</v>
      </c>
      <c r="V81" s="37">
        <f t="shared" si="53"/>
        <v>17</v>
      </c>
      <c r="W81" s="31">
        <f t="shared" si="54"/>
        <v>3.4000000000000004</v>
      </c>
      <c r="X81" s="37">
        <f t="shared" si="55"/>
        <v>13</v>
      </c>
      <c r="Y81" s="30">
        <f t="shared" si="56"/>
        <v>2.6</v>
      </c>
    </row>
    <row r="82" spans="2:25" ht="15" customHeight="1" x14ac:dyDescent="0.25">
      <c r="B82" s="5" t="s">
        <v>47</v>
      </c>
      <c r="C82" s="7" t="s">
        <v>160</v>
      </c>
      <c r="D82" s="7" t="s">
        <v>161</v>
      </c>
      <c r="E82" s="7" t="s">
        <v>161</v>
      </c>
      <c r="F82" s="44">
        <v>200201</v>
      </c>
      <c r="G82" s="17">
        <f t="shared" si="38"/>
        <v>1596</v>
      </c>
      <c r="H82" s="25">
        <f t="shared" si="39"/>
        <v>438</v>
      </c>
      <c r="I82" s="21">
        <f t="shared" si="40"/>
        <v>27.443609022556391</v>
      </c>
      <c r="J82" s="37">
        <f t="shared" si="41"/>
        <v>1158</v>
      </c>
      <c r="K82" s="25">
        <f t="shared" si="42"/>
        <v>545</v>
      </c>
      <c r="L82" s="21">
        <f t="shared" si="43"/>
        <v>47.063903281519863</v>
      </c>
      <c r="M82" s="17">
        <f t="shared" si="44"/>
        <v>1596</v>
      </c>
      <c r="N82" s="25">
        <f t="shared" si="45"/>
        <v>128</v>
      </c>
      <c r="O82" s="30">
        <f t="shared" si="46"/>
        <v>8.0200501253132828</v>
      </c>
      <c r="P82" s="17">
        <f t="shared" si="47"/>
        <v>1596</v>
      </c>
      <c r="Q82" s="25">
        <f t="shared" si="48"/>
        <v>44</v>
      </c>
      <c r="R82" s="31">
        <f t="shared" si="49"/>
        <v>2.7568922305764412</v>
      </c>
      <c r="S82" s="25">
        <f t="shared" si="50"/>
        <v>1486</v>
      </c>
      <c r="T82" s="25">
        <f t="shared" si="51"/>
        <v>158</v>
      </c>
      <c r="U82" s="21">
        <f t="shared" si="52"/>
        <v>10.632570659488561</v>
      </c>
      <c r="V82" s="37">
        <f t="shared" si="53"/>
        <v>53</v>
      </c>
      <c r="W82" s="31">
        <f t="shared" si="54"/>
        <v>3.3208020050125313</v>
      </c>
      <c r="X82" s="37">
        <f t="shared" si="55"/>
        <v>13</v>
      </c>
      <c r="Y82" s="30">
        <f t="shared" si="56"/>
        <v>0.81453634085213023</v>
      </c>
    </row>
    <row r="83" spans="2:25" ht="15" customHeight="1" x14ac:dyDescent="0.25">
      <c r="B83" s="5" t="s">
        <v>47</v>
      </c>
      <c r="C83" s="7" t="s">
        <v>160</v>
      </c>
      <c r="D83" s="7" t="s">
        <v>161</v>
      </c>
      <c r="E83" s="7" t="s">
        <v>162</v>
      </c>
      <c r="F83" s="44">
        <v>200203</v>
      </c>
      <c r="G83" s="17">
        <f t="shared" si="38"/>
        <v>125</v>
      </c>
      <c r="H83" s="25">
        <f t="shared" si="39"/>
        <v>22</v>
      </c>
      <c r="I83" s="21">
        <f t="shared" si="40"/>
        <v>17.599999999999998</v>
      </c>
      <c r="J83" s="37">
        <f t="shared" si="41"/>
        <v>103</v>
      </c>
      <c r="K83" s="25">
        <f t="shared" si="42"/>
        <v>37</v>
      </c>
      <c r="L83" s="21">
        <f t="shared" si="43"/>
        <v>35.922330097087382</v>
      </c>
      <c r="M83" s="17">
        <f t="shared" si="44"/>
        <v>125</v>
      </c>
      <c r="N83" s="25">
        <f t="shared" si="45"/>
        <v>7</v>
      </c>
      <c r="O83" s="30">
        <f t="shared" si="46"/>
        <v>5.6000000000000005</v>
      </c>
      <c r="P83" s="17">
        <f t="shared" si="47"/>
        <v>125</v>
      </c>
      <c r="Q83" s="25">
        <f t="shared" si="48"/>
        <v>4</v>
      </c>
      <c r="R83" s="31">
        <f t="shared" si="49"/>
        <v>3.2</v>
      </c>
      <c r="S83" s="25">
        <f t="shared" si="50"/>
        <v>108</v>
      </c>
      <c r="T83" s="25">
        <f t="shared" si="51"/>
        <v>14</v>
      </c>
      <c r="U83" s="21">
        <f t="shared" si="52"/>
        <v>12.962962962962962</v>
      </c>
      <c r="V83" s="37">
        <f t="shared" si="53"/>
        <v>11</v>
      </c>
      <c r="W83" s="31">
        <f t="shared" si="54"/>
        <v>8.7999999999999989</v>
      </c>
      <c r="X83" s="37">
        <f t="shared" si="55"/>
        <v>2</v>
      </c>
      <c r="Y83" s="30">
        <f t="shared" si="56"/>
        <v>1.6</v>
      </c>
    </row>
    <row r="84" spans="2:25" ht="15" customHeight="1" x14ac:dyDescent="0.25">
      <c r="B84" s="5" t="s">
        <v>47</v>
      </c>
      <c r="C84" s="7" t="s">
        <v>160</v>
      </c>
      <c r="D84" s="7" t="s">
        <v>161</v>
      </c>
      <c r="E84" s="7" t="s">
        <v>163</v>
      </c>
      <c r="F84" s="44">
        <v>200210</v>
      </c>
      <c r="G84" s="17">
        <f t="shared" si="38"/>
        <v>705</v>
      </c>
      <c r="H84" s="25">
        <f t="shared" si="39"/>
        <v>70</v>
      </c>
      <c r="I84" s="21">
        <f t="shared" si="40"/>
        <v>9.9290780141843982</v>
      </c>
      <c r="J84" s="37">
        <f t="shared" si="41"/>
        <v>635</v>
      </c>
      <c r="K84" s="25">
        <f t="shared" si="42"/>
        <v>202</v>
      </c>
      <c r="L84" s="21">
        <f t="shared" si="43"/>
        <v>31.811023622047248</v>
      </c>
      <c r="M84" s="17">
        <f t="shared" si="44"/>
        <v>705</v>
      </c>
      <c r="N84" s="25">
        <f t="shared" si="45"/>
        <v>31</v>
      </c>
      <c r="O84" s="30">
        <f t="shared" si="46"/>
        <v>4.3971631205673756</v>
      </c>
      <c r="P84" s="17">
        <f t="shared" si="47"/>
        <v>705</v>
      </c>
      <c r="Q84" s="25">
        <f t="shared" si="48"/>
        <v>19</v>
      </c>
      <c r="R84" s="31">
        <f t="shared" si="49"/>
        <v>2.6950354609929077</v>
      </c>
      <c r="S84" s="25">
        <f t="shared" si="50"/>
        <v>621</v>
      </c>
      <c r="T84" s="25">
        <f t="shared" si="51"/>
        <v>59</v>
      </c>
      <c r="U84" s="21">
        <f t="shared" si="52"/>
        <v>9.5008051529790674</v>
      </c>
      <c r="V84" s="37">
        <f t="shared" si="53"/>
        <v>48</v>
      </c>
      <c r="W84" s="31">
        <f t="shared" si="54"/>
        <v>6.8085106382978724</v>
      </c>
      <c r="X84" s="37">
        <f t="shared" si="55"/>
        <v>17</v>
      </c>
      <c r="Y84" s="30">
        <f t="shared" si="56"/>
        <v>2.4113475177304964</v>
      </c>
    </row>
    <row r="85" spans="2:25" ht="15" customHeight="1" x14ac:dyDescent="0.25">
      <c r="B85" s="5" t="s">
        <v>47</v>
      </c>
      <c r="C85" s="7" t="s">
        <v>160</v>
      </c>
      <c r="D85" s="7" t="s">
        <v>164</v>
      </c>
      <c r="E85" s="7" t="s">
        <v>165</v>
      </c>
      <c r="F85" s="44">
        <v>200303</v>
      </c>
      <c r="G85" s="17">
        <f t="shared" si="38"/>
        <v>542</v>
      </c>
      <c r="H85" s="25">
        <f t="shared" si="39"/>
        <v>196</v>
      </c>
      <c r="I85" s="21">
        <f t="shared" si="40"/>
        <v>36.162361623616235</v>
      </c>
      <c r="J85" s="37">
        <f t="shared" si="41"/>
        <v>346</v>
      </c>
      <c r="K85" s="25">
        <f t="shared" si="42"/>
        <v>180</v>
      </c>
      <c r="L85" s="21">
        <f t="shared" si="43"/>
        <v>52.023121387283233</v>
      </c>
      <c r="M85" s="17">
        <f t="shared" si="44"/>
        <v>542</v>
      </c>
      <c r="N85" s="25">
        <f t="shared" si="45"/>
        <v>36</v>
      </c>
      <c r="O85" s="30">
        <f t="shared" si="46"/>
        <v>6.6420664206642073</v>
      </c>
      <c r="P85" s="17">
        <f t="shared" si="47"/>
        <v>542</v>
      </c>
      <c r="Q85" s="25">
        <f t="shared" si="48"/>
        <v>9</v>
      </c>
      <c r="R85" s="31">
        <f t="shared" si="49"/>
        <v>1.6605166051660518</v>
      </c>
      <c r="S85" s="25">
        <f t="shared" si="50"/>
        <v>485</v>
      </c>
      <c r="T85" s="25">
        <f t="shared" si="51"/>
        <v>38</v>
      </c>
      <c r="U85" s="21">
        <f t="shared" si="52"/>
        <v>7.8350515463917523</v>
      </c>
      <c r="V85" s="37">
        <f t="shared" si="53"/>
        <v>38</v>
      </c>
      <c r="W85" s="31">
        <f t="shared" si="54"/>
        <v>7.0110701107011062</v>
      </c>
      <c r="X85" s="37">
        <f t="shared" si="55"/>
        <v>10</v>
      </c>
      <c r="Y85" s="30">
        <f t="shared" si="56"/>
        <v>1.8450184501845017</v>
      </c>
    </row>
    <row r="86" spans="2:25" ht="15" customHeight="1" x14ac:dyDescent="0.25">
      <c r="B86" s="5" t="s">
        <v>47</v>
      </c>
      <c r="C86" s="7" t="s">
        <v>160</v>
      </c>
      <c r="D86" s="7" t="s">
        <v>166</v>
      </c>
      <c r="E86" s="7" t="s">
        <v>167</v>
      </c>
      <c r="F86" s="44">
        <v>200604</v>
      </c>
      <c r="G86" s="17">
        <f t="shared" si="38"/>
        <v>596</v>
      </c>
      <c r="H86" s="25">
        <f t="shared" si="39"/>
        <v>29</v>
      </c>
      <c r="I86" s="21">
        <f t="shared" si="40"/>
        <v>4.8657718120805367</v>
      </c>
      <c r="J86" s="37">
        <f t="shared" si="41"/>
        <v>567</v>
      </c>
      <c r="K86" s="25">
        <f t="shared" si="42"/>
        <v>147</v>
      </c>
      <c r="L86" s="21">
        <f t="shared" si="43"/>
        <v>25.925925925925924</v>
      </c>
      <c r="M86" s="17">
        <f t="shared" si="44"/>
        <v>596</v>
      </c>
      <c r="N86" s="25">
        <f t="shared" si="45"/>
        <v>15</v>
      </c>
      <c r="O86" s="30">
        <f t="shared" si="46"/>
        <v>2.5167785234899327</v>
      </c>
      <c r="P86" s="17">
        <f t="shared" si="47"/>
        <v>596</v>
      </c>
      <c r="Q86" s="25">
        <f t="shared" si="48"/>
        <v>13</v>
      </c>
      <c r="R86" s="31">
        <f t="shared" si="49"/>
        <v>2.1812080536912752</v>
      </c>
      <c r="S86" s="25">
        <f t="shared" si="50"/>
        <v>524</v>
      </c>
      <c r="T86" s="25">
        <f t="shared" si="51"/>
        <v>46</v>
      </c>
      <c r="U86" s="21">
        <f t="shared" si="52"/>
        <v>8.778625954198473</v>
      </c>
      <c r="V86" s="37">
        <f t="shared" si="53"/>
        <v>44</v>
      </c>
      <c r="W86" s="31">
        <f t="shared" si="54"/>
        <v>7.3825503355704702</v>
      </c>
      <c r="X86" s="37">
        <f t="shared" si="55"/>
        <v>15</v>
      </c>
      <c r="Y86" s="30">
        <f t="shared" si="56"/>
        <v>2.5167785234899327</v>
      </c>
    </row>
    <row r="87" spans="2:25" ht="15" customHeight="1" x14ac:dyDescent="0.25">
      <c r="B87" s="5" t="s">
        <v>47</v>
      </c>
      <c r="C87" s="7" t="s">
        <v>168</v>
      </c>
      <c r="D87" s="7" t="s">
        <v>168</v>
      </c>
      <c r="E87" s="7" t="s">
        <v>169</v>
      </c>
      <c r="F87" s="44">
        <v>240104</v>
      </c>
      <c r="G87" s="17">
        <f t="shared" si="38"/>
        <v>360</v>
      </c>
      <c r="H87" s="25">
        <f t="shared" si="39"/>
        <v>36</v>
      </c>
      <c r="I87" s="21">
        <f t="shared" si="40"/>
        <v>10</v>
      </c>
      <c r="J87" s="37">
        <f t="shared" si="41"/>
        <v>324</v>
      </c>
      <c r="K87" s="25">
        <f t="shared" si="42"/>
        <v>81</v>
      </c>
      <c r="L87" s="21">
        <f t="shared" si="43"/>
        <v>25</v>
      </c>
      <c r="M87" s="17">
        <f t="shared" si="44"/>
        <v>360</v>
      </c>
      <c r="N87" s="25">
        <f t="shared" si="45"/>
        <v>18</v>
      </c>
      <c r="O87" s="30">
        <f t="shared" si="46"/>
        <v>5</v>
      </c>
      <c r="P87" s="17">
        <f t="shared" si="47"/>
        <v>360</v>
      </c>
      <c r="Q87" s="25">
        <f t="shared" si="48"/>
        <v>9</v>
      </c>
      <c r="R87" s="31">
        <f t="shared" si="49"/>
        <v>2.5</v>
      </c>
      <c r="S87" s="25">
        <f t="shared" si="50"/>
        <v>333</v>
      </c>
      <c r="T87" s="25">
        <f t="shared" si="51"/>
        <v>30</v>
      </c>
      <c r="U87" s="21">
        <f t="shared" si="52"/>
        <v>9.0090090090090094</v>
      </c>
      <c r="V87" s="37">
        <f t="shared" si="53"/>
        <v>7</v>
      </c>
      <c r="W87" s="31">
        <f t="shared" si="54"/>
        <v>1.9444444444444444</v>
      </c>
      <c r="X87" s="37">
        <f t="shared" si="55"/>
        <v>11</v>
      </c>
      <c r="Y87" s="30">
        <f t="shared" si="56"/>
        <v>3.0555555555555554</v>
      </c>
    </row>
    <row r="88" spans="2:25" ht="15" customHeight="1" x14ac:dyDescent="0.25">
      <c r="B88" s="5" t="s">
        <v>47</v>
      </c>
      <c r="C88" s="7" t="s">
        <v>168</v>
      </c>
      <c r="D88" s="7" t="s">
        <v>170</v>
      </c>
      <c r="E88" s="7" t="s">
        <v>171</v>
      </c>
      <c r="F88" s="44">
        <v>240302</v>
      </c>
      <c r="G88" s="17">
        <f t="shared" si="38"/>
        <v>1053</v>
      </c>
      <c r="H88" s="25">
        <f t="shared" si="39"/>
        <v>143</v>
      </c>
      <c r="I88" s="21">
        <f t="shared" si="40"/>
        <v>13.580246913580247</v>
      </c>
      <c r="J88" s="37">
        <f t="shared" si="41"/>
        <v>910</v>
      </c>
      <c r="K88" s="25">
        <f t="shared" si="42"/>
        <v>305</v>
      </c>
      <c r="L88" s="21">
        <f t="shared" si="43"/>
        <v>33.516483516483511</v>
      </c>
      <c r="M88" s="17">
        <f t="shared" si="44"/>
        <v>1053</v>
      </c>
      <c r="N88" s="25">
        <f t="shared" si="45"/>
        <v>35</v>
      </c>
      <c r="O88" s="30">
        <f t="shared" si="46"/>
        <v>3.3238366571699909</v>
      </c>
      <c r="P88" s="17">
        <f t="shared" si="47"/>
        <v>1053</v>
      </c>
      <c r="Q88" s="25">
        <f t="shared" si="48"/>
        <v>20</v>
      </c>
      <c r="R88" s="31">
        <f t="shared" si="49"/>
        <v>1.899335232668566</v>
      </c>
      <c r="S88" s="25">
        <f t="shared" si="50"/>
        <v>959</v>
      </c>
      <c r="T88" s="25">
        <f t="shared" si="51"/>
        <v>84</v>
      </c>
      <c r="U88" s="21">
        <f t="shared" si="52"/>
        <v>8.7591240875912408</v>
      </c>
      <c r="V88" s="37">
        <f t="shared" si="53"/>
        <v>59</v>
      </c>
      <c r="W88" s="31">
        <f t="shared" si="54"/>
        <v>5.6030389363722701</v>
      </c>
      <c r="X88" s="37">
        <f t="shared" si="55"/>
        <v>15</v>
      </c>
      <c r="Y88" s="30">
        <f t="shared" si="56"/>
        <v>1.4245014245014245</v>
      </c>
    </row>
    <row r="89" spans="2:25" ht="15" customHeight="1" x14ac:dyDescent="0.25">
      <c r="B89" s="5" t="s">
        <v>47</v>
      </c>
      <c r="C89" s="7" t="s">
        <v>168</v>
      </c>
      <c r="D89" s="7" t="s">
        <v>168</v>
      </c>
      <c r="E89" s="7" t="s">
        <v>172</v>
      </c>
      <c r="F89" s="44">
        <v>240105</v>
      </c>
      <c r="G89" s="17">
        <f t="shared" si="38"/>
        <v>353</v>
      </c>
      <c r="H89" s="25">
        <f t="shared" si="39"/>
        <v>24</v>
      </c>
      <c r="I89" s="21">
        <f t="shared" si="40"/>
        <v>6.7988668555240803</v>
      </c>
      <c r="J89" s="37">
        <f t="shared" si="41"/>
        <v>329</v>
      </c>
      <c r="K89" s="25">
        <f t="shared" si="42"/>
        <v>82</v>
      </c>
      <c r="L89" s="21">
        <f t="shared" si="43"/>
        <v>24.924012158054712</v>
      </c>
      <c r="M89" s="17">
        <f t="shared" si="44"/>
        <v>353</v>
      </c>
      <c r="N89" s="25">
        <f t="shared" si="45"/>
        <v>11</v>
      </c>
      <c r="O89" s="30">
        <f t="shared" si="46"/>
        <v>3.1161473087818696</v>
      </c>
      <c r="P89" s="17">
        <f t="shared" si="47"/>
        <v>353</v>
      </c>
      <c r="Q89" s="25">
        <f t="shared" si="48"/>
        <v>12</v>
      </c>
      <c r="R89" s="31">
        <f t="shared" si="49"/>
        <v>3.3994334277620402</v>
      </c>
      <c r="S89" s="25">
        <f t="shared" si="50"/>
        <v>312</v>
      </c>
      <c r="T89" s="25">
        <f t="shared" si="51"/>
        <v>27</v>
      </c>
      <c r="U89" s="21">
        <f t="shared" si="52"/>
        <v>8.6538461538461533</v>
      </c>
      <c r="V89" s="37">
        <f t="shared" si="53"/>
        <v>24</v>
      </c>
      <c r="W89" s="31">
        <f t="shared" si="54"/>
        <v>6.7988668555240803</v>
      </c>
      <c r="X89" s="37">
        <f t="shared" si="55"/>
        <v>5</v>
      </c>
      <c r="Y89" s="30">
        <f t="shared" si="56"/>
        <v>1.41643059490085</v>
      </c>
    </row>
    <row r="90" spans="2:25" ht="15" customHeight="1" x14ac:dyDescent="0.25">
      <c r="B90" s="5" t="s">
        <v>47</v>
      </c>
      <c r="C90" s="7" t="s">
        <v>168</v>
      </c>
      <c r="D90" s="7" t="s">
        <v>170</v>
      </c>
      <c r="E90" s="7" t="s">
        <v>170</v>
      </c>
      <c r="F90" s="44">
        <v>240301</v>
      </c>
      <c r="G90" s="17">
        <f t="shared" si="38"/>
        <v>1078</v>
      </c>
      <c r="H90" s="25">
        <f t="shared" si="39"/>
        <v>124</v>
      </c>
      <c r="I90" s="21">
        <f t="shared" si="40"/>
        <v>11.502782931354361</v>
      </c>
      <c r="J90" s="37">
        <f t="shared" si="41"/>
        <v>954</v>
      </c>
      <c r="K90" s="25">
        <f t="shared" si="42"/>
        <v>321</v>
      </c>
      <c r="L90" s="21">
        <f t="shared" si="43"/>
        <v>33.647798742138363</v>
      </c>
      <c r="M90" s="17">
        <f t="shared" si="44"/>
        <v>1078</v>
      </c>
      <c r="N90" s="25">
        <f t="shared" si="45"/>
        <v>35</v>
      </c>
      <c r="O90" s="30">
        <f t="shared" si="46"/>
        <v>3.2467532467532463</v>
      </c>
      <c r="P90" s="17">
        <f t="shared" si="47"/>
        <v>1078</v>
      </c>
      <c r="Q90" s="25">
        <f t="shared" si="48"/>
        <v>16</v>
      </c>
      <c r="R90" s="31">
        <f t="shared" si="49"/>
        <v>1.4842300556586272</v>
      </c>
      <c r="S90" s="25">
        <f t="shared" si="50"/>
        <v>977</v>
      </c>
      <c r="T90" s="25">
        <f t="shared" si="51"/>
        <v>70</v>
      </c>
      <c r="U90" s="21">
        <f t="shared" si="52"/>
        <v>7.1647901740020474</v>
      </c>
      <c r="V90" s="37">
        <f t="shared" si="53"/>
        <v>73</v>
      </c>
      <c r="W90" s="31">
        <f t="shared" si="54"/>
        <v>6.7717996289424862</v>
      </c>
      <c r="X90" s="37">
        <f t="shared" si="55"/>
        <v>12</v>
      </c>
      <c r="Y90" s="30">
        <f t="shared" si="56"/>
        <v>1.1131725417439702</v>
      </c>
    </row>
    <row r="91" spans="2:25" ht="15" customHeight="1" x14ac:dyDescent="0.25">
      <c r="B91" s="5" t="s">
        <v>47</v>
      </c>
      <c r="C91" s="7" t="s">
        <v>168</v>
      </c>
      <c r="D91" s="7" t="s">
        <v>170</v>
      </c>
      <c r="E91" s="7" t="s">
        <v>173</v>
      </c>
      <c r="F91" s="44">
        <v>240303</v>
      </c>
      <c r="G91" s="17">
        <f t="shared" si="38"/>
        <v>249</v>
      </c>
      <c r="H91" s="25">
        <f t="shared" si="39"/>
        <v>27</v>
      </c>
      <c r="I91" s="21">
        <f t="shared" si="40"/>
        <v>10.843373493975903</v>
      </c>
      <c r="J91" s="37">
        <f t="shared" si="41"/>
        <v>222</v>
      </c>
      <c r="K91" s="25">
        <f t="shared" si="42"/>
        <v>78</v>
      </c>
      <c r="L91" s="21">
        <f t="shared" si="43"/>
        <v>35.135135135135137</v>
      </c>
      <c r="M91" s="17">
        <f t="shared" si="44"/>
        <v>249</v>
      </c>
      <c r="N91" s="25">
        <f t="shared" si="45"/>
        <v>6</v>
      </c>
      <c r="O91" s="30">
        <f t="shared" si="46"/>
        <v>2.4096385542168677</v>
      </c>
      <c r="P91" s="17">
        <f t="shared" si="47"/>
        <v>249</v>
      </c>
      <c r="Q91" s="25">
        <f t="shared" si="48"/>
        <v>2</v>
      </c>
      <c r="R91" s="31">
        <f t="shared" si="49"/>
        <v>0.80321285140562237</v>
      </c>
      <c r="S91" s="25">
        <f t="shared" si="50"/>
        <v>239</v>
      </c>
      <c r="T91" s="25">
        <f t="shared" si="51"/>
        <v>27</v>
      </c>
      <c r="U91" s="21">
        <f t="shared" si="52"/>
        <v>11.297071129707113</v>
      </c>
      <c r="V91" s="37">
        <f t="shared" si="53"/>
        <v>6</v>
      </c>
      <c r="W91" s="31">
        <f t="shared" si="54"/>
        <v>2.4096385542168677</v>
      </c>
      <c r="X91" s="37">
        <f t="shared" si="55"/>
        <v>2</v>
      </c>
      <c r="Y91" s="30">
        <f t="shared" si="56"/>
        <v>0.80321285140562237</v>
      </c>
    </row>
    <row r="92" spans="2:25" ht="15" customHeight="1" thickBot="1" x14ac:dyDescent="0.3">
      <c r="B92" s="5" t="s">
        <v>47</v>
      </c>
      <c r="C92" s="7" t="s">
        <v>168</v>
      </c>
      <c r="D92" s="7" t="s">
        <v>170</v>
      </c>
      <c r="E92" s="7" t="s">
        <v>174</v>
      </c>
      <c r="F92" s="44">
        <v>240304</v>
      </c>
      <c r="G92" s="17">
        <f t="shared" si="38"/>
        <v>314</v>
      </c>
      <c r="H92" s="25">
        <f t="shared" si="39"/>
        <v>47</v>
      </c>
      <c r="I92" s="21">
        <f t="shared" si="40"/>
        <v>14.968152866242038</v>
      </c>
      <c r="J92" s="37">
        <f t="shared" si="41"/>
        <v>267</v>
      </c>
      <c r="K92" s="25">
        <f t="shared" si="42"/>
        <v>96</v>
      </c>
      <c r="L92" s="21">
        <f t="shared" si="43"/>
        <v>35.955056179775283</v>
      </c>
      <c r="M92" s="17">
        <f t="shared" si="44"/>
        <v>314</v>
      </c>
      <c r="N92" s="25">
        <f t="shared" si="45"/>
        <v>13</v>
      </c>
      <c r="O92" s="30">
        <f t="shared" si="46"/>
        <v>4.1401273885350314</v>
      </c>
      <c r="P92" s="17">
        <f t="shared" si="47"/>
        <v>314</v>
      </c>
      <c r="Q92" s="25">
        <f t="shared" si="48"/>
        <v>6</v>
      </c>
      <c r="R92" s="31">
        <f t="shared" si="49"/>
        <v>1.910828025477707</v>
      </c>
      <c r="S92" s="25">
        <f t="shared" si="50"/>
        <v>287</v>
      </c>
      <c r="T92" s="25">
        <f t="shared" si="51"/>
        <v>17</v>
      </c>
      <c r="U92" s="21">
        <f t="shared" si="52"/>
        <v>5.9233449477351918</v>
      </c>
      <c r="V92" s="37">
        <f t="shared" si="53"/>
        <v>16</v>
      </c>
      <c r="W92" s="31">
        <f t="shared" si="54"/>
        <v>5.095541401273886</v>
      </c>
      <c r="X92" s="37">
        <f t="shared" si="55"/>
        <v>5</v>
      </c>
      <c r="Y92" s="30">
        <f t="shared" si="56"/>
        <v>1.5923566878980893</v>
      </c>
    </row>
    <row r="93" spans="2:25" ht="15" customHeight="1" thickBot="1" x14ac:dyDescent="0.3">
      <c r="B93" s="81"/>
      <c r="C93" s="71"/>
      <c r="D93" s="71" t="str">
        <f>UPPER(_xlfn.CONCAT("Total ",B92))</f>
        <v>TOTAL ZONA NORTE</v>
      </c>
      <c r="E93" s="71"/>
      <c r="F93" s="82"/>
      <c r="G93" s="19">
        <f>SUM(G78:G92)</f>
        <v>11090</v>
      </c>
      <c r="H93" s="27">
        <f>SUM(H78:H92)</f>
        <v>1974</v>
      </c>
      <c r="I93" s="23">
        <f>H93/G93*100</f>
        <v>17.799819657348966</v>
      </c>
      <c r="J93" s="39">
        <f>SUM(J78:J92)</f>
        <v>9116</v>
      </c>
      <c r="K93" s="27">
        <f>SUM(K78:K92)</f>
        <v>3492</v>
      </c>
      <c r="L93" s="23">
        <f>K93/J93*100</f>
        <v>38.306274681878016</v>
      </c>
      <c r="M93" s="19">
        <f>SUM(M78:M92)</f>
        <v>11090</v>
      </c>
      <c r="N93" s="27">
        <f>SUM(N78:N92)</f>
        <v>532</v>
      </c>
      <c r="O93" s="34">
        <f>N93/M93*100</f>
        <v>4.7971145175834087</v>
      </c>
      <c r="P93" s="19">
        <f>SUM(P78:P92)</f>
        <v>11090</v>
      </c>
      <c r="Q93" s="27">
        <f>SUM(Q78:Q92)</f>
        <v>229</v>
      </c>
      <c r="R93" s="35">
        <f>Q93/P93*100</f>
        <v>2.0649233543733092</v>
      </c>
      <c r="S93" s="70">
        <f>SUM(S78:S92)</f>
        <v>10119</v>
      </c>
      <c r="T93" s="19">
        <f>SUM(T78:T92)</f>
        <v>848</v>
      </c>
      <c r="U93" s="35">
        <f>T93/S93*100</f>
        <v>8.380274730704615</v>
      </c>
      <c r="V93" s="39">
        <f>SUM(V78:V92)</f>
        <v>584</v>
      </c>
      <c r="W93" s="35">
        <f>V93/P93*100</f>
        <v>5.2660054102795311</v>
      </c>
      <c r="X93" s="39">
        <f>SUM(X78:X92)</f>
        <v>158</v>
      </c>
      <c r="Y93" s="34">
        <f>X93/P93*100</f>
        <v>1.4247069431920649</v>
      </c>
    </row>
    <row r="94" spans="2:25" ht="15" customHeight="1" x14ac:dyDescent="0.25">
      <c r="B94" s="5" t="s">
        <v>49</v>
      </c>
      <c r="C94" s="7" t="s">
        <v>112</v>
      </c>
      <c r="D94" s="7" t="s">
        <v>112</v>
      </c>
      <c r="E94" s="7" t="s">
        <v>112</v>
      </c>
      <c r="F94" s="44">
        <v>230101</v>
      </c>
      <c r="G94" s="17">
        <f>IFERROR(VLOOKUP($F94,distrito035,2,0),"-")</f>
        <v>1399</v>
      </c>
      <c r="H94" s="25">
        <f>IFERROR(VLOOKUP($F94,distrito035,3,0),"-")</f>
        <v>64</v>
      </c>
      <c r="I94" s="21">
        <f>IFERROR(VLOOKUP($F94,distrito035,4,0),"-")</f>
        <v>4.5746962115796999</v>
      </c>
      <c r="J94" s="37">
        <f>IFERROR(VLOOKUP($F94,distrito035,5,0),"-")</f>
        <v>1335</v>
      </c>
      <c r="K94" s="25">
        <f>IFERROR(VLOOKUP($F94,distrito035,6,0),"-")</f>
        <v>173</v>
      </c>
      <c r="L94" s="21">
        <f>IFERROR(VLOOKUP($F94,distrito035,7,0),"-")</f>
        <v>12.95880149812734</v>
      </c>
      <c r="M94" s="17">
        <f>IFERROR(VLOOKUP($F94,distrito035,8,0),"-")</f>
        <v>1399</v>
      </c>
      <c r="N94" s="25">
        <f>IFERROR(VLOOKUP($F94,distrito035,9,0),"-")</f>
        <v>31</v>
      </c>
      <c r="O94" s="30">
        <f>IFERROR(VLOOKUP($F94,distrito035,10,0),"-")</f>
        <v>2.2158684774839168</v>
      </c>
      <c r="P94" s="17">
        <f>IFERROR(VLOOKUP($F94,distrito035,11,0),"-")</f>
        <v>1399</v>
      </c>
      <c r="Q94" s="25">
        <f>IFERROR(VLOOKUP($F94,distrito035,12,0),"-")</f>
        <v>24</v>
      </c>
      <c r="R94" s="31">
        <f>IFERROR(VLOOKUP($F94,distrito035,13,0),"-")</f>
        <v>1.7155110793423873</v>
      </c>
      <c r="S94" s="25">
        <f>IFERROR(VLOOKUP($F94,distrito035,14,0),"-")</f>
        <v>1179</v>
      </c>
      <c r="T94" s="25">
        <f>IFERROR(VLOOKUP($F94,distrito035,15,0),"-")</f>
        <v>51</v>
      </c>
      <c r="U94" s="21">
        <f>IFERROR(VLOOKUP($F94,distrito035,16,0),"-")</f>
        <v>4.3256997455470731</v>
      </c>
      <c r="V94" s="37">
        <f>IFERROR(VLOOKUP($F94,distrito035,17,0),"-")</f>
        <v>152</v>
      </c>
      <c r="W94" s="31">
        <f>IFERROR(VLOOKUP($F94,distrito035,18,0),"-")</f>
        <v>10.864903502501786</v>
      </c>
      <c r="X94" s="37">
        <f>IFERROR(VLOOKUP($F94,distrito035,19,0),"-")</f>
        <v>44</v>
      </c>
      <c r="Y94" s="30">
        <f>IFERROR(VLOOKUP($F94,distrito035,20,0),"-")</f>
        <v>3.1451036454610435</v>
      </c>
    </row>
    <row r="95" spans="2:25" ht="15" customHeight="1" thickBot="1" x14ac:dyDescent="0.3">
      <c r="B95" s="5" t="s">
        <v>49</v>
      </c>
      <c r="C95" s="7" t="s">
        <v>112</v>
      </c>
      <c r="D95" s="7" t="s">
        <v>112</v>
      </c>
      <c r="E95" s="7" t="s">
        <v>175</v>
      </c>
      <c r="F95" s="44">
        <v>230111</v>
      </c>
      <c r="G95" s="17">
        <f>IFERROR(VLOOKUP($F95,distrito035,2,0),"-")</f>
        <v>421</v>
      </c>
      <c r="H95" s="25">
        <f>IFERROR(VLOOKUP($F95,distrito035,3,0),"-")</f>
        <v>14</v>
      </c>
      <c r="I95" s="21">
        <f>IFERROR(VLOOKUP($F95,distrito035,4,0),"-")</f>
        <v>3.3254156769596199</v>
      </c>
      <c r="J95" s="37">
        <f>IFERROR(VLOOKUP($F95,distrito035,5,0),"-")</f>
        <v>407</v>
      </c>
      <c r="K95" s="25">
        <f>IFERROR(VLOOKUP($F95,distrito035,6,0),"-")</f>
        <v>82</v>
      </c>
      <c r="L95" s="21">
        <f>IFERROR(VLOOKUP($F95,distrito035,7,0),"-")</f>
        <v>20.147420147420149</v>
      </c>
      <c r="M95" s="17">
        <f>IFERROR(VLOOKUP($F95,distrito035,8,0),"-")</f>
        <v>421</v>
      </c>
      <c r="N95" s="25">
        <f>IFERROR(VLOOKUP($F95,distrito035,9,0),"-")</f>
        <v>2</v>
      </c>
      <c r="O95" s="30">
        <f>IFERROR(VLOOKUP($F95,distrito035,10,0),"-")</f>
        <v>0.47505938242280288</v>
      </c>
      <c r="P95" s="17">
        <f>IFERROR(VLOOKUP($F95,distrito035,11,0),"-")</f>
        <v>421</v>
      </c>
      <c r="Q95" s="25">
        <f>IFERROR(VLOOKUP($F95,distrito035,12,0),"-")</f>
        <v>2</v>
      </c>
      <c r="R95" s="31">
        <f>IFERROR(VLOOKUP($F95,distrito035,13,0),"-")</f>
        <v>0.47505938242280288</v>
      </c>
      <c r="S95" s="25">
        <f>IFERROR(VLOOKUP($F95,distrito035,14,0),"-")</f>
        <v>354</v>
      </c>
      <c r="T95" s="25">
        <f>IFERROR(VLOOKUP($F95,distrito035,15,0),"-")</f>
        <v>14</v>
      </c>
      <c r="U95" s="21">
        <f>IFERROR(VLOOKUP($F95,distrito035,16,0),"-")</f>
        <v>3.9548022598870061</v>
      </c>
      <c r="V95" s="37">
        <f>IFERROR(VLOOKUP($F95,distrito035,17,0),"-")</f>
        <v>49</v>
      </c>
      <c r="W95" s="31">
        <f>IFERROR(VLOOKUP($F95,distrito035,18,0),"-")</f>
        <v>11.63895486935867</v>
      </c>
      <c r="X95" s="37">
        <f>IFERROR(VLOOKUP($F95,distrito035,19,0),"-")</f>
        <v>16</v>
      </c>
      <c r="Y95" s="30">
        <f>IFERROR(VLOOKUP($F95,distrito035,20,0),"-")</f>
        <v>3.800475059382423</v>
      </c>
    </row>
    <row r="96" spans="2:25" ht="15" customHeight="1" thickBot="1" x14ac:dyDescent="0.3">
      <c r="B96" s="81"/>
      <c r="C96" s="71"/>
      <c r="D96" s="71" t="str">
        <f>UPPER(_xlfn.CONCAT("Total ",B95))</f>
        <v>TOTAL ZONA SUR</v>
      </c>
      <c r="E96" s="71"/>
      <c r="F96" s="82"/>
      <c r="G96" s="19">
        <f>SUM(G94:G95)</f>
        <v>1820</v>
      </c>
      <c r="H96" s="27">
        <f>SUM(H94:H95)</f>
        <v>78</v>
      </c>
      <c r="I96" s="23">
        <f>H96/G96*100</f>
        <v>4.2857142857142856</v>
      </c>
      <c r="J96" s="39">
        <f>SUM(J94:J95)</f>
        <v>1742</v>
      </c>
      <c r="K96" s="27">
        <f>SUM(K94:K95)</f>
        <v>255</v>
      </c>
      <c r="L96" s="23">
        <f>K96/J96*100</f>
        <v>14.638346727898966</v>
      </c>
      <c r="M96" s="19">
        <f>SUM(M94:M95)</f>
        <v>1820</v>
      </c>
      <c r="N96" s="27">
        <f>SUM(N94:N95)</f>
        <v>33</v>
      </c>
      <c r="O96" s="34">
        <f>N96/M96*100</f>
        <v>1.8131868131868134</v>
      </c>
      <c r="P96" s="19">
        <f>SUM(P94:P95)</f>
        <v>1820</v>
      </c>
      <c r="Q96" s="27">
        <f>SUM(Q94:Q95)</f>
        <v>26</v>
      </c>
      <c r="R96" s="35">
        <f>Q96/P96*100</f>
        <v>1.4285714285714286</v>
      </c>
      <c r="S96" s="70">
        <f>SUM(S94:S95)</f>
        <v>1533</v>
      </c>
      <c r="T96" s="19">
        <f>SUM(T94:T95)</f>
        <v>65</v>
      </c>
      <c r="U96" s="35">
        <f>T96/S96*100</f>
        <v>4.2400521852576647</v>
      </c>
      <c r="V96" s="39">
        <f>SUM(V94:V95)</f>
        <v>201</v>
      </c>
      <c r="W96" s="35">
        <f>V96/P96*100</f>
        <v>11.043956043956044</v>
      </c>
      <c r="X96" s="39">
        <f>SUM(X94:X95)</f>
        <v>60</v>
      </c>
      <c r="Y96" s="34">
        <f>X96/P96*100</f>
        <v>3.296703296703297</v>
      </c>
    </row>
    <row r="97" spans="2:25" ht="15" customHeight="1" thickBot="1" x14ac:dyDescent="0.3">
      <c r="B97" s="81"/>
      <c r="C97" s="71"/>
      <c r="D97" s="71" t="s">
        <v>176</v>
      </c>
      <c r="E97" s="71"/>
      <c r="F97" s="82"/>
      <c r="G97" s="19">
        <f>G96+G93+G77+G55+G49</f>
        <v>61301</v>
      </c>
      <c r="H97" s="19">
        <f>H96+H93+H77+H55+H49</f>
        <v>12606</v>
      </c>
      <c r="I97" s="23">
        <f>H97/G97*100</f>
        <v>20.564101727541146</v>
      </c>
      <c r="J97" s="19">
        <f>J96+J93+J77+J55+J49</f>
        <v>48695</v>
      </c>
      <c r="K97" s="19">
        <f>K96+K93+K77+K55+K49</f>
        <v>18989</v>
      </c>
      <c r="L97" s="23">
        <f>K97/J97*100</f>
        <v>38.995790122189142</v>
      </c>
      <c r="M97" s="19">
        <f>M96+M93+M77+M55+M49</f>
        <v>61301</v>
      </c>
      <c r="N97" s="19">
        <f>N96+N93+N77+N55+N49</f>
        <v>3773</v>
      </c>
      <c r="O97" s="34">
        <f>N97/M97*100</f>
        <v>6.1548751243862254</v>
      </c>
      <c r="P97" s="19">
        <f>P96+P93+P77+P55+P49</f>
        <v>61301</v>
      </c>
      <c r="Q97" s="19">
        <f>Q96+Q93+Q77+Q55+Q49</f>
        <v>1563</v>
      </c>
      <c r="R97" s="35">
        <f>Q97/P97*100</f>
        <v>2.5497137077698571</v>
      </c>
      <c r="S97" s="19">
        <f>S96+S93+S77+S55+S49</f>
        <v>55326</v>
      </c>
      <c r="T97" s="19">
        <f>T96+T93+T77+T55+T49</f>
        <v>4758</v>
      </c>
      <c r="U97" s="35">
        <f>T97/S97*100</f>
        <v>8.5999349311354507</v>
      </c>
      <c r="V97" s="19">
        <f>V96+V93+V77+V55+V49</f>
        <v>3476</v>
      </c>
      <c r="W97" s="35">
        <f>V97/P97*100</f>
        <v>5.6703805810671932</v>
      </c>
      <c r="X97" s="19">
        <f>X96+X93+X77+X55+X49</f>
        <v>936</v>
      </c>
      <c r="Y97" s="34">
        <f>X97/P97*100</f>
        <v>1.5268918940963443</v>
      </c>
    </row>
    <row r="98" spans="2:25" ht="15" customHeight="1" x14ac:dyDescent="0.25">
      <c r="B98" s="2" t="str">
        <f>_xlfn.CONCAT("Fuente: Sistema de Información SIEN - HIS, ",RIGHT(INICIO!C8,4),".")</f>
        <v>Fuente: Sistema de Información SIEN - HIS, 2025.</v>
      </c>
      <c r="C98" s="2"/>
      <c r="D98" s="2"/>
      <c r="E98" s="2"/>
      <c r="F98" s="2"/>
      <c r="G98" s="2"/>
    </row>
    <row r="99" spans="2:25" ht="15" customHeight="1" x14ac:dyDescent="0.25">
      <c r="B99" s="2" t="s">
        <v>69</v>
      </c>
      <c r="C99" s="2"/>
      <c r="D99" s="2"/>
      <c r="E99" s="2"/>
      <c r="F99" s="2"/>
      <c r="G99" s="83"/>
    </row>
    <row r="100" spans="2:25" ht="15" customHeight="1" x14ac:dyDescent="0.25">
      <c r="B100" s="2" t="s">
        <v>16</v>
      </c>
      <c r="C100" s="2"/>
      <c r="D100" s="2"/>
      <c r="E100" s="2"/>
      <c r="F100" s="2"/>
      <c r="G100" s="2"/>
    </row>
    <row r="101" spans="2:25" ht="15" customHeight="1" x14ac:dyDescent="0.25">
      <c r="B101" s="2" t="s">
        <v>21</v>
      </c>
      <c r="C101" s="2"/>
      <c r="D101" s="2"/>
      <c r="E101" s="2"/>
      <c r="F101" s="2"/>
      <c r="G101" s="2"/>
    </row>
    <row r="102" spans="2:25" ht="15" customHeight="1" x14ac:dyDescent="0.25">
      <c r="B102" s="2"/>
      <c r="C102" s="2"/>
    </row>
    <row r="103" spans="2:25" ht="15" customHeight="1" x14ac:dyDescent="0.25">
      <c r="B103" s="2"/>
      <c r="C103" s="2"/>
    </row>
  </sheetData>
  <mergeCells count="22">
    <mergeCell ref="P6:P7"/>
    <mergeCell ref="H6:I6"/>
    <mergeCell ref="J6:J7"/>
    <mergeCell ref="K6:L6"/>
    <mergeCell ref="M6:M7"/>
    <mergeCell ref="N6:O6"/>
    <mergeCell ref="B2:Y2"/>
    <mergeCell ref="B3:Y3"/>
    <mergeCell ref="B5:B7"/>
    <mergeCell ref="D5:D7"/>
    <mergeCell ref="E5:E7"/>
    <mergeCell ref="F5:F7"/>
    <mergeCell ref="G5:L5"/>
    <mergeCell ref="M5:O5"/>
    <mergeCell ref="P5:Y5"/>
    <mergeCell ref="G6:G7"/>
    <mergeCell ref="C5:C7"/>
    <mergeCell ref="Q6:R6"/>
    <mergeCell ref="S6:S7"/>
    <mergeCell ref="T6:U6"/>
    <mergeCell ref="V6:W6"/>
    <mergeCell ref="X6:Y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00B050"/>
  </sheetPr>
  <dimension ref="B2:U37"/>
  <sheetViews>
    <sheetView showGridLines="0" zoomScaleNormal="100" workbookViewId="0">
      <selection activeCell="B8" sqref="B8:U32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89" t="s">
        <v>56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2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2:21" ht="15" customHeight="1" thickBot="1" x14ac:dyDescent="0.3"/>
    <row r="5" spans="2:21" ht="15" customHeight="1" thickBot="1" x14ac:dyDescent="0.3">
      <c r="B5" s="92" t="s">
        <v>0</v>
      </c>
      <c r="C5" s="91" t="s">
        <v>11</v>
      </c>
      <c r="D5" s="91"/>
      <c r="E5" s="91"/>
      <c r="F5" s="91"/>
      <c r="G5" s="91"/>
      <c r="H5" s="91"/>
      <c r="I5" s="91" t="s">
        <v>12</v>
      </c>
      <c r="J5" s="91"/>
      <c r="K5" s="91"/>
      <c r="L5" s="91" t="s">
        <v>14</v>
      </c>
      <c r="M5" s="91"/>
      <c r="N5" s="91"/>
      <c r="O5" s="91"/>
      <c r="P5" s="91"/>
      <c r="Q5" s="91"/>
      <c r="R5" s="91"/>
      <c r="S5" s="91"/>
      <c r="T5" s="91"/>
      <c r="U5" s="91"/>
    </row>
    <row r="6" spans="2:21" ht="15" customHeight="1" thickBot="1" x14ac:dyDescent="0.3">
      <c r="B6" s="92"/>
      <c r="C6" s="91" t="s">
        <v>10</v>
      </c>
      <c r="D6" s="91" t="s">
        <v>9</v>
      </c>
      <c r="E6" s="91"/>
      <c r="F6" s="91" t="s">
        <v>10</v>
      </c>
      <c r="G6" s="95" t="s">
        <v>20</v>
      </c>
      <c r="H6" s="94"/>
      <c r="I6" s="91" t="s">
        <v>10</v>
      </c>
      <c r="J6" s="91" t="s">
        <v>13</v>
      </c>
      <c r="K6" s="91"/>
      <c r="L6" s="91" t="s">
        <v>10</v>
      </c>
      <c r="M6" s="91" t="s">
        <v>15</v>
      </c>
      <c r="N6" s="91"/>
      <c r="O6" s="91" t="s">
        <v>10</v>
      </c>
      <c r="P6" s="93" t="s">
        <v>41</v>
      </c>
      <c r="Q6" s="94"/>
      <c r="R6" s="91" t="s">
        <v>3</v>
      </c>
      <c r="S6" s="91"/>
      <c r="T6" s="91" t="s">
        <v>4</v>
      </c>
      <c r="U6" s="91"/>
    </row>
    <row r="7" spans="2:21" ht="30" customHeight="1" thickBot="1" x14ac:dyDescent="0.3">
      <c r="B7" s="92"/>
      <c r="C7" s="91"/>
      <c r="D7" s="9" t="s">
        <v>1</v>
      </c>
      <c r="E7" s="9" t="s">
        <v>2</v>
      </c>
      <c r="F7" s="91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13" t="s">
        <v>178</v>
      </c>
      <c r="C8" s="16">
        <v>15743</v>
      </c>
      <c r="D8" s="24">
        <v>5829</v>
      </c>
      <c r="E8" s="20">
        <v>37.025979800546274</v>
      </c>
      <c r="F8" s="36">
        <v>9914</v>
      </c>
      <c r="G8" s="24">
        <v>5745</v>
      </c>
      <c r="H8" s="20">
        <v>57.948355860399438</v>
      </c>
      <c r="I8" s="16">
        <v>15743</v>
      </c>
      <c r="J8" s="24">
        <v>1159</v>
      </c>
      <c r="K8" s="28">
        <v>7.3620021596900207</v>
      </c>
      <c r="L8" s="16">
        <v>15743</v>
      </c>
      <c r="M8" s="24">
        <v>321</v>
      </c>
      <c r="N8" s="29">
        <v>2.0390014609667788</v>
      </c>
      <c r="O8" s="72">
        <v>14175</v>
      </c>
      <c r="P8" s="72">
        <v>926</v>
      </c>
      <c r="Q8" s="20">
        <v>6.5326278659611994</v>
      </c>
      <c r="R8" s="36">
        <v>957</v>
      </c>
      <c r="S8" s="29">
        <v>6.0788922060598365</v>
      </c>
      <c r="T8" s="36">
        <v>290</v>
      </c>
      <c r="U8" s="28">
        <v>1.8420885472908595</v>
      </c>
    </row>
    <row r="9" spans="2:21" ht="15" customHeight="1" x14ac:dyDescent="0.25">
      <c r="B9" s="14" t="s">
        <v>179</v>
      </c>
      <c r="C9" s="17">
        <v>0</v>
      </c>
      <c r="D9" s="25">
        <v>0</v>
      </c>
      <c r="E9" s="21">
        <v>0</v>
      </c>
      <c r="F9" s="37">
        <v>0</v>
      </c>
      <c r="G9" s="25">
        <v>0</v>
      </c>
      <c r="H9" s="21">
        <v>0</v>
      </c>
      <c r="I9" s="17">
        <v>0</v>
      </c>
      <c r="J9" s="25">
        <v>0</v>
      </c>
      <c r="K9" s="30">
        <v>0</v>
      </c>
      <c r="L9" s="17">
        <v>0</v>
      </c>
      <c r="M9" s="25">
        <v>0</v>
      </c>
      <c r="N9" s="31">
        <v>0</v>
      </c>
      <c r="O9" s="25">
        <v>0</v>
      </c>
      <c r="P9" s="25">
        <v>0</v>
      </c>
      <c r="Q9" s="21">
        <v>0</v>
      </c>
      <c r="R9" s="37">
        <v>0</v>
      </c>
      <c r="S9" s="31">
        <v>0</v>
      </c>
      <c r="T9" s="37">
        <v>0</v>
      </c>
      <c r="U9" s="30">
        <v>0</v>
      </c>
    </row>
    <row r="10" spans="2:21" ht="15" customHeight="1" x14ac:dyDescent="0.25">
      <c r="B10" s="14" t="s">
        <v>180</v>
      </c>
      <c r="C10" s="17">
        <v>0</v>
      </c>
      <c r="D10" s="25">
        <v>0</v>
      </c>
      <c r="E10" s="21">
        <v>0</v>
      </c>
      <c r="F10" s="37">
        <v>0</v>
      </c>
      <c r="G10" s="25">
        <v>0</v>
      </c>
      <c r="H10" s="21">
        <v>0</v>
      </c>
      <c r="I10" s="17">
        <v>0</v>
      </c>
      <c r="J10" s="25">
        <v>0</v>
      </c>
      <c r="K10" s="30">
        <v>0</v>
      </c>
      <c r="L10" s="17">
        <v>0</v>
      </c>
      <c r="M10" s="25">
        <v>0</v>
      </c>
      <c r="N10" s="31">
        <v>0</v>
      </c>
      <c r="O10" s="25">
        <v>0</v>
      </c>
      <c r="P10" s="25">
        <v>0</v>
      </c>
      <c r="Q10" s="21">
        <v>0</v>
      </c>
      <c r="R10" s="37">
        <v>0</v>
      </c>
      <c r="S10" s="31">
        <v>0</v>
      </c>
      <c r="T10" s="37">
        <v>0</v>
      </c>
      <c r="U10" s="30">
        <v>0</v>
      </c>
    </row>
    <row r="11" spans="2:21" ht="15" customHeight="1" x14ac:dyDescent="0.25">
      <c r="B11" s="14" t="s">
        <v>181</v>
      </c>
      <c r="C11" s="17">
        <v>0</v>
      </c>
      <c r="D11" s="25">
        <v>0</v>
      </c>
      <c r="E11" s="21">
        <v>0</v>
      </c>
      <c r="F11" s="37">
        <v>0</v>
      </c>
      <c r="G11" s="25">
        <v>0</v>
      </c>
      <c r="H11" s="21">
        <v>0</v>
      </c>
      <c r="I11" s="17">
        <v>0</v>
      </c>
      <c r="J11" s="25">
        <v>0</v>
      </c>
      <c r="K11" s="30">
        <v>0</v>
      </c>
      <c r="L11" s="17">
        <v>0</v>
      </c>
      <c r="M11" s="25">
        <v>0</v>
      </c>
      <c r="N11" s="31">
        <v>0</v>
      </c>
      <c r="O11" s="25">
        <v>0</v>
      </c>
      <c r="P11" s="25">
        <v>0</v>
      </c>
      <c r="Q11" s="21">
        <v>0</v>
      </c>
      <c r="R11" s="37">
        <v>0</v>
      </c>
      <c r="S11" s="31">
        <v>0</v>
      </c>
      <c r="T11" s="37">
        <v>0</v>
      </c>
      <c r="U11" s="30">
        <v>0</v>
      </c>
    </row>
    <row r="12" spans="2:21" ht="15" customHeight="1" x14ac:dyDescent="0.25">
      <c r="B12" s="14" t="s">
        <v>182</v>
      </c>
      <c r="C12" s="17">
        <v>0</v>
      </c>
      <c r="D12" s="25">
        <v>0</v>
      </c>
      <c r="E12" s="21">
        <v>0</v>
      </c>
      <c r="F12" s="37">
        <v>0</v>
      </c>
      <c r="G12" s="25">
        <v>0</v>
      </c>
      <c r="H12" s="21">
        <v>0</v>
      </c>
      <c r="I12" s="17">
        <v>0</v>
      </c>
      <c r="J12" s="25">
        <v>0</v>
      </c>
      <c r="K12" s="30">
        <v>0</v>
      </c>
      <c r="L12" s="17">
        <v>0</v>
      </c>
      <c r="M12" s="25">
        <v>0</v>
      </c>
      <c r="N12" s="31">
        <v>0</v>
      </c>
      <c r="O12" s="25">
        <v>0</v>
      </c>
      <c r="P12" s="25">
        <v>0</v>
      </c>
      <c r="Q12" s="21">
        <v>0</v>
      </c>
      <c r="R12" s="37">
        <v>0</v>
      </c>
      <c r="S12" s="31">
        <v>0</v>
      </c>
      <c r="T12" s="37">
        <v>0</v>
      </c>
      <c r="U12" s="30">
        <v>0</v>
      </c>
    </row>
    <row r="13" spans="2:21" ht="15" customHeight="1" x14ac:dyDescent="0.25">
      <c r="B13" s="14" t="s">
        <v>183</v>
      </c>
      <c r="C13" s="17">
        <v>7566</v>
      </c>
      <c r="D13" s="25">
        <v>1636</v>
      </c>
      <c r="E13" s="21">
        <v>21.623050489029872</v>
      </c>
      <c r="F13" s="37">
        <v>5930</v>
      </c>
      <c r="G13" s="25">
        <v>2816</v>
      </c>
      <c r="H13" s="21">
        <v>47.487352445193935</v>
      </c>
      <c r="I13" s="17">
        <v>7566</v>
      </c>
      <c r="J13" s="25">
        <v>407</v>
      </c>
      <c r="K13" s="30">
        <v>5.3793285752048643</v>
      </c>
      <c r="L13" s="17">
        <v>7566</v>
      </c>
      <c r="M13" s="25">
        <v>138</v>
      </c>
      <c r="N13" s="31">
        <v>1.8239492466296592</v>
      </c>
      <c r="O13" s="25">
        <v>7038</v>
      </c>
      <c r="P13" s="25">
        <v>496</v>
      </c>
      <c r="Q13" s="21">
        <v>7.0474566638249501</v>
      </c>
      <c r="R13" s="37">
        <v>308</v>
      </c>
      <c r="S13" s="31">
        <v>4.0708432461009778</v>
      </c>
      <c r="T13" s="37">
        <v>82</v>
      </c>
      <c r="U13" s="30">
        <v>1.0837959291567538</v>
      </c>
    </row>
    <row r="14" spans="2:21" ht="15" customHeight="1" x14ac:dyDescent="0.25">
      <c r="B14" s="14" t="s">
        <v>184</v>
      </c>
      <c r="C14" s="17">
        <v>0</v>
      </c>
      <c r="D14" s="25">
        <v>0</v>
      </c>
      <c r="E14" s="21">
        <v>0</v>
      </c>
      <c r="F14" s="37">
        <v>0</v>
      </c>
      <c r="G14" s="25">
        <v>0</v>
      </c>
      <c r="H14" s="21">
        <v>0</v>
      </c>
      <c r="I14" s="17">
        <v>0</v>
      </c>
      <c r="J14" s="25">
        <v>0</v>
      </c>
      <c r="K14" s="30">
        <v>0</v>
      </c>
      <c r="L14" s="17">
        <v>0</v>
      </c>
      <c r="M14" s="25">
        <v>0</v>
      </c>
      <c r="N14" s="31">
        <v>0</v>
      </c>
      <c r="O14" s="25">
        <v>0</v>
      </c>
      <c r="P14" s="25">
        <v>0</v>
      </c>
      <c r="Q14" s="21">
        <v>0</v>
      </c>
      <c r="R14" s="37">
        <v>0</v>
      </c>
      <c r="S14" s="31">
        <v>0</v>
      </c>
      <c r="T14" s="37">
        <v>0</v>
      </c>
      <c r="U14" s="30">
        <v>0</v>
      </c>
    </row>
    <row r="15" spans="2:21" ht="15" customHeight="1" x14ac:dyDescent="0.25">
      <c r="B15" s="14" t="s">
        <v>185</v>
      </c>
      <c r="C15" s="17">
        <v>0</v>
      </c>
      <c r="D15" s="25">
        <v>0</v>
      </c>
      <c r="E15" s="21">
        <v>0</v>
      </c>
      <c r="F15" s="37">
        <v>0</v>
      </c>
      <c r="G15" s="25">
        <v>0</v>
      </c>
      <c r="H15" s="21">
        <v>0</v>
      </c>
      <c r="I15" s="17">
        <v>0</v>
      </c>
      <c r="J15" s="25">
        <v>0</v>
      </c>
      <c r="K15" s="30">
        <v>0</v>
      </c>
      <c r="L15" s="17">
        <v>0</v>
      </c>
      <c r="M15" s="25">
        <v>0</v>
      </c>
      <c r="N15" s="31">
        <v>0</v>
      </c>
      <c r="O15" s="25">
        <v>0</v>
      </c>
      <c r="P15" s="25">
        <v>0</v>
      </c>
      <c r="Q15" s="21">
        <v>0</v>
      </c>
      <c r="R15" s="37">
        <v>0</v>
      </c>
      <c r="S15" s="31">
        <v>0</v>
      </c>
      <c r="T15" s="37">
        <v>0</v>
      </c>
      <c r="U15" s="30">
        <v>0</v>
      </c>
    </row>
    <row r="16" spans="2:21" ht="15" customHeight="1" x14ac:dyDescent="0.25">
      <c r="B16" s="14" t="s">
        <v>186</v>
      </c>
      <c r="C16" s="17">
        <v>0</v>
      </c>
      <c r="D16" s="25">
        <v>0</v>
      </c>
      <c r="E16" s="21">
        <v>0</v>
      </c>
      <c r="F16" s="37">
        <v>0</v>
      </c>
      <c r="G16" s="25">
        <v>0</v>
      </c>
      <c r="H16" s="21">
        <v>0</v>
      </c>
      <c r="I16" s="17">
        <v>0</v>
      </c>
      <c r="J16" s="25">
        <v>0</v>
      </c>
      <c r="K16" s="30">
        <v>0</v>
      </c>
      <c r="L16" s="17">
        <v>0</v>
      </c>
      <c r="M16" s="25">
        <v>0</v>
      </c>
      <c r="N16" s="31">
        <v>0</v>
      </c>
      <c r="O16" s="25">
        <v>0</v>
      </c>
      <c r="P16" s="25">
        <v>0</v>
      </c>
      <c r="Q16" s="21">
        <v>0</v>
      </c>
      <c r="R16" s="37">
        <v>0</v>
      </c>
      <c r="S16" s="31">
        <v>0</v>
      </c>
      <c r="T16" s="37">
        <v>0</v>
      </c>
      <c r="U16" s="30">
        <v>0</v>
      </c>
    </row>
    <row r="17" spans="2:21" ht="15" customHeight="1" x14ac:dyDescent="0.25">
      <c r="B17" s="14" t="s">
        <v>187</v>
      </c>
      <c r="C17" s="17">
        <v>0</v>
      </c>
      <c r="D17" s="25">
        <v>0</v>
      </c>
      <c r="E17" s="21">
        <v>0</v>
      </c>
      <c r="F17" s="37">
        <v>0</v>
      </c>
      <c r="G17" s="25">
        <v>0</v>
      </c>
      <c r="H17" s="21">
        <v>0</v>
      </c>
      <c r="I17" s="17">
        <v>0</v>
      </c>
      <c r="J17" s="25">
        <v>0</v>
      </c>
      <c r="K17" s="30">
        <v>0</v>
      </c>
      <c r="L17" s="17">
        <v>0</v>
      </c>
      <c r="M17" s="25">
        <v>0</v>
      </c>
      <c r="N17" s="31">
        <v>0</v>
      </c>
      <c r="O17" s="25">
        <v>0</v>
      </c>
      <c r="P17" s="25">
        <v>0</v>
      </c>
      <c r="Q17" s="21">
        <v>0</v>
      </c>
      <c r="R17" s="37">
        <v>0</v>
      </c>
      <c r="S17" s="31">
        <v>0</v>
      </c>
      <c r="T17" s="37">
        <v>0</v>
      </c>
      <c r="U17" s="30">
        <v>0</v>
      </c>
    </row>
    <row r="18" spans="2:21" ht="15" customHeight="1" x14ac:dyDescent="0.25">
      <c r="B18" s="14" t="s">
        <v>188</v>
      </c>
      <c r="C18" s="17">
        <v>0</v>
      </c>
      <c r="D18" s="25">
        <v>0</v>
      </c>
      <c r="E18" s="21">
        <v>0</v>
      </c>
      <c r="F18" s="37">
        <v>0</v>
      </c>
      <c r="G18" s="25">
        <v>0</v>
      </c>
      <c r="H18" s="21">
        <v>0</v>
      </c>
      <c r="I18" s="17">
        <v>0</v>
      </c>
      <c r="J18" s="25">
        <v>0</v>
      </c>
      <c r="K18" s="30">
        <v>0</v>
      </c>
      <c r="L18" s="17">
        <v>0</v>
      </c>
      <c r="M18" s="25">
        <v>0</v>
      </c>
      <c r="N18" s="31">
        <v>0</v>
      </c>
      <c r="O18" s="25">
        <v>0</v>
      </c>
      <c r="P18" s="25">
        <v>0</v>
      </c>
      <c r="Q18" s="21">
        <v>0</v>
      </c>
      <c r="R18" s="37">
        <v>0</v>
      </c>
      <c r="S18" s="31">
        <v>0</v>
      </c>
      <c r="T18" s="37">
        <v>0</v>
      </c>
      <c r="U18" s="30">
        <v>0</v>
      </c>
    </row>
    <row r="19" spans="2:21" ht="15" customHeight="1" x14ac:dyDescent="0.25">
      <c r="B19" s="14" t="s">
        <v>189</v>
      </c>
      <c r="C19" s="17">
        <v>0</v>
      </c>
      <c r="D19" s="25">
        <v>0</v>
      </c>
      <c r="E19" s="21">
        <v>0</v>
      </c>
      <c r="F19" s="37">
        <v>0</v>
      </c>
      <c r="G19" s="25">
        <v>0</v>
      </c>
      <c r="H19" s="21">
        <v>0</v>
      </c>
      <c r="I19" s="17">
        <v>0</v>
      </c>
      <c r="J19" s="25">
        <v>0</v>
      </c>
      <c r="K19" s="30">
        <v>0</v>
      </c>
      <c r="L19" s="17">
        <v>0</v>
      </c>
      <c r="M19" s="25">
        <v>0</v>
      </c>
      <c r="N19" s="31">
        <v>0</v>
      </c>
      <c r="O19" s="25">
        <v>0</v>
      </c>
      <c r="P19" s="25">
        <v>0</v>
      </c>
      <c r="Q19" s="21">
        <v>0</v>
      </c>
      <c r="R19" s="37">
        <v>0</v>
      </c>
      <c r="S19" s="31">
        <v>0</v>
      </c>
      <c r="T19" s="37">
        <v>0</v>
      </c>
      <c r="U19" s="30">
        <v>0</v>
      </c>
    </row>
    <row r="20" spans="2:21" ht="15" customHeight="1" x14ac:dyDescent="0.25">
      <c r="B20" s="14" t="s">
        <v>190</v>
      </c>
      <c r="C20" s="17">
        <v>0</v>
      </c>
      <c r="D20" s="25">
        <v>0</v>
      </c>
      <c r="E20" s="21">
        <v>0</v>
      </c>
      <c r="F20" s="37">
        <v>0</v>
      </c>
      <c r="G20" s="25">
        <v>0</v>
      </c>
      <c r="H20" s="21">
        <v>0</v>
      </c>
      <c r="I20" s="17">
        <v>0</v>
      </c>
      <c r="J20" s="25">
        <v>0</v>
      </c>
      <c r="K20" s="30">
        <v>0</v>
      </c>
      <c r="L20" s="17">
        <v>0</v>
      </c>
      <c r="M20" s="25">
        <v>0</v>
      </c>
      <c r="N20" s="31">
        <v>0</v>
      </c>
      <c r="O20" s="25">
        <v>0</v>
      </c>
      <c r="P20" s="25">
        <v>0</v>
      </c>
      <c r="Q20" s="21">
        <v>0</v>
      </c>
      <c r="R20" s="37">
        <v>0</v>
      </c>
      <c r="S20" s="31">
        <v>0</v>
      </c>
      <c r="T20" s="37">
        <v>0</v>
      </c>
      <c r="U20" s="30">
        <v>0</v>
      </c>
    </row>
    <row r="21" spans="2:21" ht="15" customHeight="1" x14ac:dyDescent="0.25">
      <c r="B21" s="14" t="s">
        <v>191</v>
      </c>
      <c r="C21" s="17">
        <v>0</v>
      </c>
      <c r="D21" s="25">
        <v>0</v>
      </c>
      <c r="E21" s="21">
        <v>0</v>
      </c>
      <c r="F21" s="37">
        <v>0</v>
      </c>
      <c r="G21" s="25">
        <v>0</v>
      </c>
      <c r="H21" s="21">
        <v>0</v>
      </c>
      <c r="I21" s="17">
        <v>0</v>
      </c>
      <c r="J21" s="25">
        <v>0</v>
      </c>
      <c r="K21" s="30">
        <v>0</v>
      </c>
      <c r="L21" s="17">
        <v>0</v>
      </c>
      <c r="M21" s="25">
        <v>0</v>
      </c>
      <c r="N21" s="31">
        <v>0</v>
      </c>
      <c r="O21" s="25">
        <v>0</v>
      </c>
      <c r="P21" s="25">
        <v>0</v>
      </c>
      <c r="Q21" s="21">
        <v>0</v>
      </c>
      <c r="R21" s="37">
        <v>0</v>
      </c>
      <c r="S21" s="31">
        <v>0</v>
      </c>
      <c r="T21" s="37">
        <v>0</v>
      </c>
      <c r="U21" s="30">
        <v>0</v>
      </c>
    </row>
    <row r="22" spans="2:21" ht="15" customHeight="1" x14ac:dyDescent="0.25">
      <c r="B22" s="14" t="s">
        <v>192</v>
      </c>
      <c r="C22" s="17">
        <v>0</v>
      </c>
      <c r="D22" s="25">
        <v>0</v>
      </c>
      <c r="E22" s="21">
        <v>0</v>
      </c>
      <c r="F22" s="37">
        <v>0</v>
      </c>
      <c r="G22" s="25">
        <v>0</v>
      </c>
      <c r="H22" s="21">
        <v>0</v>
      </c>
      <c r="I22" s="17">
        <v>0</v>
      </c>
      <c r="J22" s="25">
        <v>0</v>
      </c>
      <c r="K22" s="30">
        <v>0</v>
      </c>
      <c r="L22" s="17">
        <v>0</v>
      </c>
      <c r="M22" s="25">
        <v>0</v>
      </c>
      <c r="N22" s="31">
        <v>0</v>
      </c>
      <c r="O22" s="25">
        <v>0</v>
      </c>
      <c r="P22" s="25">
        <v>0</v>
      </c>
      <c r="Q22" s="21">
        <v>0</v>
      </c>
      <c r="R22" s="37">
        <v>0</v>
      </c>
      <c r="S22" s="31">
        <v>0</v>
      </c>
      <c r="T22" s="37">
        <v>0</v>
      </c>
      <c r="U22" s="30">
        <v>0</v>
      </c>
    </row>
    <row r="23" spans="2:21" ht="15" customHeight="1" x14ac:dyDescent="0.25">
      <c r="B23" s="14" t="s">
        <v>193</v>
      </c>
      <c r="C23" s="17">
        <v>17258</v>
      </c>
      <c r="D23" s="25">
        <v>5187</v>
      </c>
      <c r="E23" s="21">
        <v>30.055626376173368</v>
      </c>
      <c r="F23" s="37">
        <v>12071</v>
      </c>
      <c r="G23" s="25">
        <v>6032</v>
      </c>
      <c r="H23" s="21">
        <v>49.971004887747497</v>
      </c>
      <c r="I23" s="17">
        <v>17258</v>
      </c>
      <c r="J23" s="25">
        <v>1678</v>
      </c>
      <c r="K23" s="30">
        <v>9.7230270019701006</v>
      </c>
      <c r="L23" s="17">
        <v>17258</v>
      </c>
      <c r="M23" s="25">
        <v>839</v>
      </c>
      <c r="N23" s="31">
        <v>4.8615135009850503</v>
      </c>
      <c r="O23" s="25">
        <v>15274</v>
      </c>
      <c r="P23" s="25">
        <v>1557</v>
      </c>
      <c r="Q23" s="21">
        <v>10.193793374361661</v>
      </c>
      <c r="R23" s="37">
        <v>864</v>
      </c>
      <c r="S23" s="31">
        <v>5.0063738556031989</v>
      </c>
      <c r="T23" s="37">
        <v>281</v>
      </c>
      <c r="U23" s="30">
        <v>1.6282303859079847</v>
      </c>
    </row>
    <row r="24" spans="2:21" ht="15" customHeight="1" x14ac:dyDescent="0.25">
      <c r="B24" s="14" t="s">
        <v>194</v>
      </c>
      <c r="C24" s="17">
        <v>8861</v>
      </c>
      <c r="D24" s="25">
        <v>826</v>
      </c>
      <c r="E24" s="21">
        <v>9.3217469811533693</v>
      </c>
      <c r="F24" s="37">
        <v>8035</v>
      </c>
      <c r="G24" s="25">
        <v>2289</v>
      </c>
      <c r="H24" s="21">
        <v>28.487865588052269</v>
      </c>
      <c r="I24" s="17">
        <v>8861</v>
      </c>
      <c r="J24" s="25">
        <v>294</v>
      </c>
      <c r="K24" s="30">
        <v>3.3179099424444192</v>
      </c>
      <c r="L24" s="17">
        <v>8861</v>
      </c>
      <c r="M24" s="25">
        <v>206</v>
      </c>
      <c r="N24" s="31">
        <v>2.3247940413045933</v>
      </c>
      <c r="O24" s="25">
        <v>8051</v>
      </c>
      <c r="P24" s="25">
        <v>754</v>
      </c>
      <c r="Q24" s="21">
        <v>9.3652962364923606</v>
      </c>
      <c r="R24" s="37">
        <v>463</v>
      </c>
      <c r="S24" s="31">
        <v>5.2251438889515853</v>
      </c>
      <c r="T24" s="37">
        <v>141</v>
      </c>
      <c r="U24" s="30">
        <v>1.5912425234172214</v>
      </c>
    </row>
    <row r="25" spans="2:21" ht="15" customHeight="1" x14ac:dyDescent="0.25">
      <c r="B25" s="14" t="s">
        <v>195</v>
      </c>
      <c r="C25" s="17">
        <v>0</v>
      </c>
      <c r="D25" s="25">
        <v>0</v>
      </c>
      <c r="E25" s="21">
        <v>0</v>
      </c>
      <c r="F25" s="37">
        <v>0</v>
      </c>
      <c r="G25" s="25">
        <v>0</v>
      </c>
      <c r="H25" s="21">
        <v>0</v>
      </c>
      <c r="I25" s="17">
        <v>0</v>
      </c>
      <c r="J25" s="25">
        <v>0</v>
      </c>
      <c r="K25" s="30">
        <v>0</v>
      </c>
      <c r="L25" s="17">
        <v>0</v>
      </c>
      <c r="M25" s="25">
        <v>0</v>
      </c>
      <c r="N25" s="31">
        <v>0</v>
      </c>
      <c r="O25" s="25">
        <v>0</v>
      </c>
      <c r="P25" s="25">
        <v>0</v>
      </c>
      <c r="Q25" s="21">
        <v>0</v>
      </c>
      <c r="R25" s="37">
        <v>0</v>
      </c>
      <c r="S25" s="31">
        <v>0</v>
      </c>
      <c r="T25" s="37">
        <v>0</v>
      </c>
      <c r="U25" s="30">
        <v>0</v>
      </c>
    </row>
    <row r="26" spans="2:21" ht="15" customHeight="1" x14ac:dyDescent="0.25">
      <c r="B26" s="14" t="s">
        <v>196</v>
      </c>
      <c r="C26" s="17">
        <v>0</v>
      </c>
      <c r="D26" s="25">
        <v>0</v>
      </c>
      <c r="E26" s="21">
        <v>0</v>
      </c>
      <c r="F26" s="37">
        <v>0</v>
      </c>
      <c r="G26" s="25">
        <v>0</v>
      </c>
      <c r="H26" s="21">
        <v>0</v>
      </c>
      <c r="I26" s="17">
        <v>0</v>
      </c>
      <c r="J26" s="25">
        <v>0</v>
      </c>
      <c r="K26" s="30">
        <v>0</v>
      </c>
      <c r="L26" s="17">
        <v>0</v>
      </c>
      <c r="M26" s="25">
        <v>0</v>
      </c>
      <c r="N26" s="31">
        <v>0</v>
      </c>
      <c r="O26" s="25">
        <v>0</v>
      </c>
      <c r="P26" s="25">
        <v>0</v>
      </c>
      <c r="Q26" s="21">
        <v>0</v>
      </c>
      <c r="R26" s="37">
        <v>0</v>
      </c>
      <c r="S26" s="31">
        <v>0</v>
      </c>
      <c r="T26" s="37">
        <v>0</v>
      </c>
      <c r="U26" s="30">
        <v>0</v>
      </c>
    </row>
    <row r="27" spans="2:21" ht="15" customHeight="1" x14ac:dyDescent="0.25">
      <c r="B27" s="14" t="s">
        <v>197</v>
      </c>
      <c r="C27" s="17">
        <v>6602</v>
      </c>
      <c r="D27" s="25">
        <v>1544</v>
      </c>
      <c r="E27" s="21">
        <v>23.386852468948803</v>
      </c>
      <c r="F27" s="37">
        <v>5058</v>
      </c>
      <c r="G27" s="25">
        <v>2165</v>
      </c>
      <c r="H27" s="21">
        <v>42.803479636219848</v>
      </c>
      <c r="I27" s="17">
        <v>6602</v>
      </c>
      <c r="J27" s="25">
        <v>422</v>
      </c>
      <c r="K27" s="30">
        <v>6.3920024235080284</v>
      </c>
      <c r="L27" s="17">
        <v>6602</v>
      </c>
      <c r="M27" s="25">
        <v>149</v>
      </c>
      <c r="N27" s="31">
        <v>2.2568918509542559</v>
      </c>
      <c r="O27" s="25">
        <v>6035</v>
      </c>
      <c r="P27" s="25">
        <v>544</v>
      </c>
      <c r="Q27" s="21">
        <v>9.0140845070422539</v>
      </c>
      <c r="R27" s="37">
        <v>300</v>
      </c>
      <c r="S27" s="31">
        <v>4.5440775522568924</v>
      </c>
      <c r="T27" s="37">
        <v>118</v>
      </c>
      <c r="U27" s="30">
        <v>1.7873371705543775</v>
      </c>
    </row>
    <row r="28" spans="2:21" ht="15" customHeight="1" x14ac:dyDescent="0.25">
      <c r="B28" s="14" t="s">
        <v>198</v>
      </c>
      <c r="C28" s="17">
        <v>20410</v>
      </c>
      <c r="D28" s="25">
        <v>1969</v>
      </c>
      <c r="E28" s="21">
        <v>9.647231749142577</v>
      </c>
      <c r="F28" s="37">
        <v>18441</v>
      </c>
      <c r="G28" s="25">
        <v>6683</v>
      </c>
      <c r="H28" s="21">
        <v>36.239900222330675</v>
      </c>
      <c r="I28" s="17">
        <v>20410</v>
      </c>
      <c r="J28" s="25">
        <v>346</v>
      </c>
      <c r="K28" s="30">
        <v>1.6952474277315042</v>
      </c>
      <c r="L28" s="17">
        <v>20410</v>
      </c>
      <c r="M28" s="25">
        <v>185</v>
      </c>
      <c r="N28" s="31">
        <v>0.90641842234198911</v>
      </c>
      <c r="O28" s="25">
        <v>18643</v>
      </c>
      <c r="P28" s="25">
        <v>740</v>
      </c>
      <c r="Q28" s="21">
        <v>3.9693182427720859</v>
      </c>
      <c r="R28" s="37">
        <v>1349</v>
      </c>
      <c r="S28" s="31">
        <v>6.6095051445369926</v>
      </c>
      <c r="T28" s="37">
        <v>233</v>
      </c>
      <c r="U28" s="30">
        <v>1.1415972562469379</v>
      </c>
    </row>
    <row r="29" spans="2:21" ht="15" customHeight="1" x14ac:dyDescent="0.25">
      <c r="B29" s="14" t="s">
        <v>199</v>
      </c>
      <c r="C29" s="17">
        <v>0</v>
      </c>
      <c r="D29" s="25">
        <v>0</v>
      </c>
      <c r="E29" s="21">
        <v>0</v>
      </c>
      <c r="F29" s="37">
        <v>0</v>
      </c>
      <c r="G29" s="25">
        <v>0</v>
      </c>
      <c r="H29" s="21">
        <v>0</v>
      </c>
      <c r="I29" s="17">
        <v>0</v>
      </c>
      <c r="J29" s="25">
        <v>0</v>
      </c>
      <c r="K29" s="30">
        <v>0</v>
      </c>
      <c r="L29" s="17">
        <v>0</v>
      </c>
      <c r="M29" s="25">
        <v>0</v>
      </c>
      <c r="N29" s="31">
        <v>0</v>
      </c>
      <c r="O29" s="25">
        <v>0</v>
      </c>
      <c r="P29" s="25">
        <v>0</v>
      </c>
      <c r="Q29" s="21">
        <v>0</v>
      </c>
      <c r="R29" s="37">
        <v>0</v>
      </c>
      <c r="S29" s="31">
        <v>0</v>
      </c>
      <c r="T29" s="37">
        <v>0</v>
      </c>
      <c r="U29" s="30">
        <v>0</v>
      </c>
    </row>
    <row r="30" spans="2:21" ht="15" customHeight="1" x14ac:dyDescent="0.25">
      <c r="B30" s="14" t="s">
        <v>200</v>
      </c>
      <c r="C30" s="17">
        <v>3373</v>
      </c>
      <c r="D30" s="25">
        <v>156</v>
      </c>
      <c r="E30" s="21">
        <v>4.6249629410020754</v>
      </c>
      <c r="F30" s="37">
        <v>3217</v>
      </c>
      <c r="G30" s="25">
        <v>591</v>
      </c>
      <c r="H30" s="21">
        <v>18.371153248368046</v>
      </c>
      <c r="I30" s="17">
        <v>3373</v>
      </c>
      <c r="J30" s="25">
        <v>48</v>
      </c>
      <c r="K30" s="30">
        <v>1.4230655203083309</v>
      </c>
      <c r="L30" s="17">
        <v>3373</v>
      </c>
      <c r="M30" s="25">
        <v>36</v>
      </c>
      <c r="N30" s="31">
        <v>1.0672991402312482</v>
      </c>
      <c r="O30" s="25">
        <v>2805</v>
      </c>
      <c r="P30" s="25">
        <v>119</v>
      </c>
      <c r="Q30" s="21">
        <v>4.2424242424242431</v>
      </c>
      <c r="R30" s="37">
        <v>384</v>
      </c>
      <c r="S30" s="31">
        <v>11.384524162466647</v>
      </c>
      <c r="T30" s="37">
        <v>148</v>
      </c>
      <c r="U30" s="30">
        <v>4.3877853542840208</v>
      </c>
    </row>
    <row r="31" spans="2:21" ht="15" customHeight="1" x14ac:dyDescent="0.25">
      <c r="B31" s="14" t="s">
        <v>201</v>
      </c>
      <c r="C31" s="17">
        <v>5423</v>
      </c>
      <c r="D31" s="25">
        <v>592</v>
      </c>
      <c r="E31" s="21">
        <v>10.916466900239721</v>
      </c>
      <c r="F31" s="37">
        <v>4831</v>
      </c>
      <c r="G31" s="25">
        <v>1523</v>
      </c>
      <c r="H31" s="21">
        <v>31.525564065410887</v>
      </c>
      <c r="I31" s="17">
        <v>5423</v>
      </c>
      <c r="J31" s="25">
        <v>166</v>
      </c>
      <c r="K31" s="30">
        <v>3.0610363267564078</v>
      </c>
      <c r="L31" s="17">
        <v>5423</v>
      </c>
      <c r="M31" s="25">
        <v>114</v>
      </c>
      <c r="N31" s="31">
        <v>2.1021574774110272</v>
      </c>
      <c r="O31" s="25">
        <v>4883</v>
      </c>
      <c r="P31" s="25">
        <v>402</v>
      </c>
      <c r="Q31" s="21">
        <v>8.2326438664755273</v>
      </c>
      <c r="R31" s="37">
        <v>302</v>
      </c>
      <c r="S31" s="31">
        <v>5.5688733173520184</v>
      </c>
      <c r="T31" s="37">
        <v>124</v>
      </c>
      <c r="U31" s="30">
        <v>2.2865572561312928</v>
      </c>
    </row>
    <row r="32" spans="2:21" ht="15" customHeight="1" thickBot="1" x14ac:dyDescent="0.3">
      <c r="B32" s="13" t="s">
        <v>202</v>
      </c>
      <c r="C32" s="18">
        <v>13704</v>
      </c>
      <c r="D32" s="26">
        <v>2959</v>
      </c>
      <c r="E32" s="22">
        <v>21.592235843549329</v>
      </c>
      <c r="F32" s="38">
        <v>10745</v>
      </c>
      <c r="G32" s="26">
        <v>4426</v>
      </c>
      <c r="H32" s="22">
        <v>41.191251744997679</v>
      </c>
      <c r="I32" s="18">
        <v>13704</v>
      </c>
      <c r="J32" s="26">
        <v>1073</v>
      </c>
      <c r="K32" s="32">
        <v>7.8298307063631061</v>
      </c>
      <c r="L32" s="18">
        <v>13704</v>
      </c>
      <c r="M32" s="26">
        <v>441</v>
      </c>
      <c r="N32" s="33">
        <v>3.2180385288966726</v>
      </c>
      <c r="O32" s="26">
        <v>12484</v>
      </c>
      <c r="P32" s="26">
        <v>1404</v>
      </c>
      <c r="Q32" s="22">
        <v>11.2463953860942</v>
      </c>
      <c r="R32" s="38">
        <v>567</v>
      </c>
      <c r="S32" s="33">
        <v>4.1374781085814361</v>
      </c>
      <c r="T32" s="38">
        <v>212</v>
      </c>
      <c r="U32" s="32">
        <v>1.5469935785172213</v>
      </c>
    </row>
    <row r="33" spans="2:21" ht="15" customHeight="1" thickBot="1" x14ac:dyDescent="0.3">
      <c r="B33" s="15" t="s">
        <v>44</v>
      </c>
      <c r="C33" s="19">
        <f>SUM(C8:C32)</f>
        <v>98940</v>
      </c>
      <c r="D33" s="27">
        <f>SUM(D8:D32)</f>
        <v>20698</v>
      </c>
      <c r="E33" s="23">
        <f>D33/C33*100</f>
        <v>20.919749343036184</v>
      </c>
      <c r="F33" s="39">
        <f>SUM(F8:F32)</f>
        <v>78242</v>
      </c>
      <c r="G33" s="27">
        <f>SUM(G8:G32)</f>
        <v>32270</v>
      </c>
      <c r="H33" s="23">
        <f t="shared" ref="H33" si="0">G33/F33*100</f>
        <v>41.243833235346742</v>
      </c>
      <c r="I33" s="19">
        <f>SUM(I8:I32)</f>
        <v>98940</v>
      </c>
      <c r="J33" s="27">
        <f>SUM(J8:J32)</f>
        <v>5593</v>
      </c>
      <c r="K33" s="34">
        <f>J33/I33*100</f>
        <v>5.6529209621993131</v>
      </c>
      <c r="L33" s="19">
        <f>SUM(L8:L32)</f>
        <v>98940</v>
      </c>
      <c r="M33" s="27">
        <f>SUM(M8:M32)</f>
        <v>2429</v>
      </c>
      <c r="N33" s="35">
        <f>M33/L33*100</f>
        <v>2.455023246411967</v>
      </c>
      <c r="O33" s="23">
        <f>SUM(O8:O32)</f>
        <v>89388</v>
      </c>
      <c r="P33" s="27">
        <f>SUM(P8:P32)</f>
        <v>6942</v>
      </c>
      <c r="Q33" s="35">
        <f>P33/O33*100</f>
        <v>7.7661431064572417</v>
      </c>
      <c r="R33" s="39">
        <f>SUM(R8:R32)</f>
        <v>5494</v>
      </c>
      <c r="S33" s="35">
        <f>R33/L33*100</f>
        <v>5.552860319385486</v>
      </c>
      <c r="T33" s="39">
        <f>SUM(T8:T32)</f>
        <v>1629</v>
      </c>
      <c r="U33" s="34">
        <f>T33/L33*100</f>
        <v>1.6464523953911463</v>
      </c>
    </row>
    <row r="34" spans="2:21" ht="15" customHeight="1" x14ac:dyDescent="0.25">
      <c r="B34" s="2" t="str">
        <f>_xlfn.CONCAT("Fuente: Sistema de Información SIEN - HIS, ",RIGHT(INICIO!C8,4),".")</f>
        <v>Fuente: Sistema de Información SIEN - HIS, 2025.</v>
      </c>
      <c r="C34" s="2"/>
    </row>
    <row r="35" spans="2:21" ht="15" customHeight="1" x14ac:dyDescent="0.25">
      <c r="B35" s="2" t="s">
        <v>69</v>
      </c>
      <c r="C35" s="2"/>
    </row>
    <row r="36" spans="2:21" ht="15" customHeight="1" x14ac:dyDescent="0.25">
      <c r="B36" s="2" t="s">
        <v>16</v>
      </c>
      <c r="C36" s="2"/>
    </row>
    <row r="37" spans="2:21" ht="15" customHeight="1" x14ac:dyDescent="0.25">
      <c r="B37" s="2" t="s">
        <v>21</v>
      </c>
      <c r="C37" s="2"/>
    </row>
  </sheetData>
  <mergeCells count="18">
    <mergeCell ref="G6:H6"/>
    <mergeCell ref="F6:F7"/>
    <mergeCell ref="B2:U2"/>
    <mergeCell ref="B3:U3"/>
    <mergeCell ref="B5:B7"/>
    <mergeCell ref="C5:H5"/>
    <mergeCell ref="I5:K5"/>
    <mergeCell ref="L5:U5"/>
    <mergeCell ref="C6:C7"/>
    <mergeCell ref="D6:E6"/>
    <mergeCell ref="I6:I7"/>
    <mergeCell ref="J6:K6"/>
    <mergeCell ref="L6:L7"/>
    <mergeCell ref="M6:N6"/>
    <mergeCell ref="R6:S6"/>
    <mergeCell ref="P6:Q6"/>
    <mergeCell ref="O6:O7"/>
    <mergeCell ref="T6:U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00B050"/>
  </sheetPr>
  <dimension ref="B2:U41"/>
  <sheetViews>
    <sheetView showGridLines="0" zoomScaleNormal="100" workbookViewId="0">
      <selection activeCell="B8" sqref="B8:U3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21" width="12.7109375" style="1" customWidth="1"/>
    <col min="22" max="16384" width="11.42578125" style="1"/>
  </cols>
  <sheetData>
    <row r="2" spans="2:21" ht="84.95" customHeight="1" x14ac:dyDescent="0.25">
      <c r="B2" s="89" t="s">
        <v>57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2:21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2:21" ht="15" customHeight="1" thickBot="1" x14ac:dyDescent="0.3"/>
    <row r="5" spans="2:21" ht="15" customHeight="1" thickBot="1" x14ac:dyDescent="0.3">
      <c r="B5" s="92" t="s">
        <v>22</v>
      </c>
      <c r="C5" s="91" t="s">
        <v>11</v>
      </c>
      <c r="D5" s="91"/>
      <c r="E5" s="91"/>
      <c r="F5" s="91"/>
      <c r="G5" s="91"/>
      <c r="H5" s="91"/>
      <c r="I5" s="91" t="s">
        <v>12</v>
      </c>
      <c r="J5" s="91"/>
      <c r="K5" s="91"/>
      <c r="L5" s="91" t="s">
        <v>14</v>
      </c>
      <c r="M5" s="91"/>
      <c r="N5" s="91"/>
      <c r="O5" s="91"/>
      <c r="P5" s="91"/>
      <c r="Q5" s="91"/>
      <c r="R5" s="91"/>
      <c r="S5" s="91"/>
      <c r="T5" s="91"/>
      <c r="U5" s="91"/>
    </row>
    <row r="6" spans="2:21" ht="15" customHeight="1" thickBot="1" x14ac:dyDescent="0.3">
      <c r="B6" s="92"/>
      <c r="C6" s="91" t="s">
        <v>10</v>
      </c>
      <c r="D6" s="91" t="s">
        <v>9</v>
      </c>
      <c r="E6" s="91"/>
      <c r="F6" s="91" t="s">
        <v>10</v>
      </c>
      <c r="G6" s="95" t="s">
        <v>20</v>
      </c>
      <c r="H6" s="94"/>
      <c r="I6" s="91" t="s">
        <v>10</v>
      </c>
      <c r="J6" s="91" t="s">
        <v>13</v>
      </c>
      <c r="K6" s="91"/>
      <c r="L6" s="91" t="s">
        <v>10</v>
      </c>
      <c r="M6" s="91" t="s">
        <v>15</v>
      </c>
      <c r="N6" s="91"/>
      <c r="O6" s="91" t="s">
        <v>10</v>
      </c>
      <c r="P6" s="93" t="s">
        <v>41</v>
      </c>
      <c r="Q6" s="94"/>
      <c r="R6" s="91" t="s">
        <v>3</v>
      </c>
      <c r="S6" s="91"/>
      <c r="T6" s="91" t="s">
        <v>4</v>
      </c>
      <c r="U6" s="91"/>
    </row>
    <row r="7" spans="2:21" ht="30" customHeight="1" thickBot="1" x14ac:dyDescent="0.3">
      <c r="B7" s="92"/>
      <c r="C7" s="91"/>
      <c r="D7" s="9" t="s">
        <v>1</v>
      </c>
      <c r="E7" s="9" t="s">
        <v>2</v>
      </c>
      <c r="F7" s="91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" t="s">
        <v>1</v>
      </c>
      <c r="S7" s="9" t="s">
        <v>2</v>
      </c>
      <c r="T7" s="9" t="s">
        <v>1</v>
      </c>
      <c r="U7" s="9" t="s">
        <v>2</v>
      </c>
    </row>
    <row r="8" spans="2:21" ht="15" customHeight="1" x14ac:dyDescent="0.25">
      <c r="B8" s="13" t="s">
        <v>178</v>
      </c>
      <c r="C8" s="16">
        <v>15743</v>
      </c>
      <c r="D8" s="24">
        <v>5829</v>
      </c>
      <c r="E8" s="20">
        <v>37.025979800546274</v>
      </c>
      <c r="F8" s="36">
        <v>9914</v>
      </c>
      <c r="G8" s="24">
        <v>5745</v>
      </c>
      <c r="H8" s="20">
        <v>57.948355860399438</v>
      </c>
      <c r="I8" s="16">
        <v>15743</v>
      </c>
      <c r="J8" s="24">
        <v>1159</v>
      </c>
      <c r="K8" s="28">
        <v>7.3620021596900207</v>
      </c>
      <c r="L8" s="16">
        <v>15743</v>
      </c>
      <c r="M8" s="24">
        <v>321</v>
      </c>
      <c r="N8" s="29">
        <v>2.0390014609667788</v>
      </c>
      <c r="O8" s="72">
        <v>14175</v>
      </c>
      <c r="P8" s="72">
        <v>926</v>
      </c>
      <c r="Q8" s="20">
        <v>6.5326278659611994</v>
      </c>
      <c r="R8" s="36">
        <v>957</v>
      </c>
      <c r="S8" s="29">
        <v>6.0788922060598365</v>
      </c>
      <c r="T8" s="36">
        <v>290</v>
      </c>
      <c r="U8" s="28">
        <v>1.8420885472908595</v>
      </c>
    </row>
    <row r="9" spans="2:21" ht="15" customHeight="1" x14ac:dyDescent="0.25">
      <c r="B9" s="14" t="s">
        <v>179</v>
      </c>
      <c r="C9" s="17">
        <v>0</v>
      </c>
      <c r="D9" s="25">
        <v>0</v>
      </c>
      <c r="E9" s="21">
        <v>0</v>
      </c>
      <c r="F9" s="37">
        <v>0</v>
      </c>
      <c r="G9" s="25">
        <v>0</v>
      </c>
      <c r="H9" s="21">
        <v>0</v>
      </c>
      <c r="I9" s="17">
        <v>0</v>
      </c>
      <c r="J9" s="25">
        <v>0</v>
      </c>
      <c r="K9" s="30">
        <v>0</v>
      </c>
      <c r="L9" s="17">
        <v>0</v>
      </c>
      <c r="M9" s="25">
        <v>0</v>
      </c>
      <c r="N9" s="31">
        <v>0</v>
      </c>
      <c r="O9" s="25">
        <v>0</v>
      </c>
      <c r="P9" s="25">
        <v>0</v>
      </c>
      <c r="Q9" s="21">
        <v>0</v>
      </c>
      <c r="R9" s="37">
        <v>0</v>
      </c>
      <c r="S9" s="31">
        <v>0</v>
      </c>
      <c r="T9" s="37">
        <v>0</v>
      </c>
      <c r="U9" s="30">
        <v>0</v>
      </c>
    </row>
    <row r="10" spans="2:21" ht="15" customHeight="1" x14ac:dyDescent="0.25">
      <c r="B10" s="14" t="s">
        <v>180</v>
      </c>
      <c r="C10" s="17">
        <v>0</v>
      </c>
      <c r="D10" s="25">
        <v>0</v>
      </c>
      <c r="E10" s="21">
        <v>0</v>
      </c>
      <c r="F10" s="37">
        <v>0</v>
      </c>
      <c r="G10" s="25">
        <v>0</v>
      </c>
      <c r="H10" s="21">
        <v>0</v>
      </c>
      <c r="I10" s="17">
        <v>0</v>
      </c>
      <c r="J10" s="25">
        <v>0</v>
      </c>
      <c r="K10" s="30">
        <v>0</v>
      </c>
      <c r="L10" s="17">
        <v>0</v>
      </c>
      <c r="M10" s="25">
        <v>0</v>
      </c>
      <c r="N10" s="31">
        <v>0</v>
      </c>
      <c r="O10" s="25">
        <v>0</v>
      </c>
      <c r="P10" s="25">
        <v>0</v>
      </c>
      <c r="Q10" s="21">
        <v>0</v>
      </c>
      <c r="R10" s="37">
        <v>0</v>
      </c>
      <c r="S10" s="31">
        <v>0</v>
      </c>
      <c r="T10" s="37">
        <v>0</v>
      </c>
      <c r="U10" s="30">
        <v>0</v>
      </c>
    </row>
    <row r="11" spans="2:21" ht="15" customHeight="1" x14ac:dyDescent="0.25">
      <c r="B11" s="14" t="s">
        <v>181</v>
      </c>
      <c r="C11" s="17">
        <v>0</v>
      </c>
      <c r="D11" s="25">
        <v>0</v>
      </c>
      <c r="E11" s="21">
        <v>0</v>
      </c>
      <c r="F11" s="37">
        <v>0</v>
      </c>
      <c r="G11" s="25">
        <v>0</v>
      </c>
      <c r="H11" s="21">
        <v>0</v>
      </c>
      <c r="I11" s="17">
        <v>0</v>
      </c>
      <c r="J11" s="25">
        <v>0</v>
      </c>
      <c r="K11" s="30">
        <v>0</v>
      </c>
      <c r="L11" s="17">
        <v>0</v>
      </c>
      <c r="M11" s="25">
        <v>0</v>
      </c>
      <c r="N11" s="31">
        <v>0</v>
      </c>
      <c r="O11" s="25">
        <v>0</v>
      </c>
      <c r="P11" s="25">
        <v>0</v>
      </c>
      <c r="Q11" s="21">
        <v>0</v>
      </c>
      <c r="R11" s="37">
        <v>0</v>
      </c>
      <c r="S11" s="31">
        <v>0</v>
      </c>
      <c r="T11" s="37">
        <v>0</v>
      </c>
      <c r="U11" s="30">
        <v>0</v>
      </c>
    </row>
    <row r="12" spans="2:21" ht="15" customHeight="1" x14ac:dyDescent="0.25">
      <c r="B12" s="14" t="s">
        <v>182</v>
      </c>
      <c r="C12" s="17">
        <v>0</v>
      </c>
      <c r="D12" s="25">
        <v>0</v>
      </c>
      <c r="E12" s="21">
        <v>0</v>
      </c>
      <c r="F12" s="37">
        <v>0</v>
      </c>
      <c r="G12" s="25">
        <v>0</v>
      </c>
      <c r="H12" s="21">
        <v>0</v>
      </c>
      <c r="I12" s="17">
        <v>0</v>
      </c>
      <c r="J12" s="25">
        <v>0</v>
      </c>
      <c r="K12" s="30">
        <v>0</v>
      </c>
      <c r="L12" s="17">
        <v>0</v>
      </c>
      <c r="M12" s="25">
        <v>0</v>
      </c>
      <c r="N12" s="31">
        <v>0</v>
      </c>
      <c r="O12" s="25">
        <v>0</v>
      </c>
      <c r="P12" s="25">
        <v>0</v>
      </c>
      <c r="Q12" s="21">
        <v>0</v>
      </c>
      <c r="R12" s="37">
        <v>0</v>
      </c>
      <c r="S12" s="31">
        <v>0</v>
      </c>
      <c r="T12" s="37">
        <v>0</v>
      </c>
      <c r="U12" s="30">
        <v>0</v>
      </c>
    </row>
    <row r="13" spans="2:21" ht="15" customHeight="1" x14ac:dyDescent="0.25">
      <c r="B13" s="14" t="s">
        <v>183</v>
      </c>
      <c r="C13" s="17">
        <v>7566</v>
      </c>
      <c r="D13" s="25">
        <v>1636</v>
      </c>
      <c r="E13" s="21">
        <v>21.623050489029872</v>
      </c>
      <c r="F13" s="37">
        <v>5930</v>
      </c>
      <c r="G13" s="25">
        <v>2816</v>
      </c>
      <c r="H13" s="21">
        <v>47.487352445193935</v>
      </c>
      <c r="I13" s="17">
        <v>7566</v>
      </c>
      <c r="J13" s="25">
        <v>407</v>
      </c>
      <c r="K13" s="30">
        <v>5.3793285752048643</v>
      </c>
      <c r="L13" s="17">
        <v>7566</v>
      </c>
      <c r="M13" s="25">
        <v>138</v>
      </c>
      <c r="N13" s="31">
        <v>1.8239492466296592</v>
      </c>
      <c r="O13" s="25">
        <v>7038</v>
      </c>
      <c r="P13" s="25">
        <v>496</v>
      </c>
      <c r="Q13" s="21">
        <v>7.0474566638249501</v>
      </c>
      <c r="R13" s="37">
        <v>308</v>
      </c>
      <c r="S13" s="31">
        <v>4.0708432461009778</v>
      </c>
      <c r="T13" s="37">
        <v>82</v>
      </c>
      <c r="U13" s="30">
        <v>1.0837959291567538</v>
      </c>
    </row>
    <row r="14" spans="2:21" ht="15" customHeight="1" x14ac:dyDescent="0.25">
      <c r="B14" s="14" t="s">
        <v>184</v>
      </c>
      <c r="C14" s="17">
        <v>0</v>
      </c>
      <c r="D14" s="25">
        <v>0</v>
      </c>
      <c r="E14" s="21">
        <v>0</v>
      </c>
      <c r="F14" s="37">
        <v>0</v>
      </c>
      <c r="G14" s="25">
        <v>0</v>
      </c>
      <c r="H14" s="21">
        <v>0</v>
      </c>
      <c r="I14" s="17">
        <v>0</v>
      </c>
      <c r="J14" s="25">
        <v>0</v>
      </c>
      <c r="K14" s="30">
        <v>0</v>
      </c>
      <c r="L14" s="17">
        <v>0</v>
      </c>
      <c r="M14" s="25">
        <v>0</v>
      </c>
      <c r="N14" s="31">
        <v>0</v>
      </c>
      <c r="O14" s="25">
        <v>0</v>
      </c>
      <c r="P14" s="25">
        <v>0</v>
      </c>
      <c r="Q14" s="21">
        <v>0</v>
      </c>
      <c r="R14" s="37">
        <v>0</v>
      </c>
      <c r="S14" s="31">
        <v>0</v>
      </c>
      <c r="T14" s="37">
        <v>0</v>
      </c>
      <c r="U14" s="30">
        <v>0</v>
      </c>
    </row>
    <row r="15" spans="2:21" ht="15" customHeight="1" x14ac:dyDescent="0.25">
      <c r="B15" s="14" t="s">
        <v>185</v>
      </c>
      <c r="C15" s="17">
        <v>0</v>
      </c>
      <c r="D15" s="25">
        <v>0</v>
      </c>
      <c r="E15" s="21">
        <v>0</v>
      </c>
      <c r="F15" s="37">
        <v>0</v>
      </c>
      <c r="G15" s="25">
        <v>0</v>
      </c>
      <c r="H15" s="21">
        <v>0</v>
      </c>
      <c r="I15" s="17">
        <v>0</v>
      </c>
      <c r="J15" s="25">
        <v>0</v>
      </c>
      <c r="K15" s="30">
        <v>0</v>
      </c>
      <c r="L15" s="17">
        <v>0</v>
      </c>
      <c r="M15" s="25">
        <v>0</v>
      </c>
      <c r="N15" s="31">
        <v>0</v>
      </c>
      <c r="O15" s="25">
        <v>0</v>
      </c>
      <c r="P15" s="25">
        <v>0</v>
      </c>
      <c r="Q15" s="21">
        <v>0</v>
      </c>
      <c r="R15" s="37">
        <v>0</v>
      </c>
      <c r="S15" s="31">
        <v>0</v>
      </c>
      <c r="T15" s="37">
        <v>0</v>
      </c>
      <c r="U15" s="30">
        <v>0</v>
      </c>
    </row>
    <row r="16" spans="2:21" ht="15" customHeight="1" x14ac:dyDescent="0.25">
      <c r="B16" s="14" t="s">
        <v>186</v>
      </c>
      <c r="C16" s="17">
        <v>0</v>
      </c>
      <c r="D16" s="25">
        <v>0</v>
      </c>
      <c r="E16" s="21">
        <v>0</v>
      </c>
      <c r="F16" s="37">
        <v>0</v>
      </c>
      <c r="G16" s="25">
        <v>0</v>
      </c>
      <c r="H16" s="21">
        <v>0</v>
      </c>
      <c r="I16" s="17">
        <v>0</v>
      </c>
      <c r="J16" s="25">
        <v>0</v>
      </c>
      <c r="K16" s="30">
        <v>0</v>
      </c>
      <c r="L16" s="17">
        <v>0</v>
      </c>
      <c r="M16" s="25">
        <v>0</v>
      </c>
      <c r="N16" s="31">
        <v>0</v>
      </c>
      <c r="O16" s="25">
        <v>0</v>
      </c>
      <c r="P16" s="25">
        <v>0</v>
      </c>
      <c r="Q16" s="21">
        <v>0</v>
      </c>
      <c r="R16" s="37">
        <v>0</v>
      </c>
      <c r="S16" s="31">
        <v>0</v>
      </c>
      <c r="T16" s="37">
        <v>0</v>
      </c>
      <c r="U16" s="30">
        <v>0</v>
      </c>
    </row>
    <row r="17" spans="2:21" ht="15" customHeight="1" x14ac:dyDescent="0.25">
      <c r="B17" s="14" t="s">
        <v>187</v>
      </c>
      <c r="C17" s="17">
        <v>0</v>
      </c>
      <c r="D17" s="25">
        <v>0</v>
      </c>
      <c r="E17" s="21">
        <v>0</v>
      </c>
      <c r="F17" s="37">
        <v>0</v>
      </c>
      <c r="G17" s="25">
        <v>0</v>
      </c>
      <c r="H17" s="21">
        <v>0</v>
      </c>
      <c r="I17" s="17">
        <v>0</v>
      </c>
      <c r="J17" s="25">
        <v>0</v>
      </c>
      <c r="K17" s="30">
        <v>0</v>
      </c>
      <c r="L17" s="17">
        <v>0</v>
      </c>
      <c r="M17" s="25">
        <v>0</v>
      </c>
      <c r="N17" s="31">
        <v>0</v>
      </c>
      <c r="O17" s="25">
        <v>0</v>
      </c>
      <c r="P17" s="25">
        <v>0</v>
      </c>
      <c r="Q17" s="21">
        <v>0</v>
      </c>
      <c r="R17" s="37">
        <v>0</v>
      </c>
      <c r="S17" s="31">
        <v>0</v>
      </c>
      <c r="T17" s="37">
        <v>0</v>
      </c>
      <c r="U17" s="30">
        <v>0</v>
      </c>
    </row>
    <row r="18" spans="2:21" ht="15" customHeight="1" x14ac:dyDescent="0.25">
      <c r="B18" s="14" t="s">
        <v>188</v>
      </c>
      <c r="C18" s="17">
        <v>0</v>
      </c>
      <c r="D18" s="25">
        <v>0</v>
      </c>
      <c r="E18" s="21">
        <v>0</v>
      </c>
      <c r="F18" s="37">
        <v>0</v>
      </c>
      <c r="G18" s="25">
        <v>0</v>
      </c>
      <c r="H18" s="21">
        <v>0</v>
      </c>
      <c r="I18" s="17">
        <v>0</v>
      </c>
      <c r="J18" s="25">
        <v>0</v>
      </c>
      <c r="K18" s="30">
        <v>0</v>
      </c>
      <c r="L18" s="17">
        <v>0</v>
      </c>
      <c r="M18" s="25">
        <v>0</v>
      </c>
      <c r="N18" s="31">
        <v>0</v>
      </c>
      <c r="O18" s="25">
        <v>0</v>
      </c>
      <c r="P18" s="25">
        <v>0</v>
      </c>
      <c r="Q18" s="21">
        <v>0</v>
      </c>
      <c r="R18" s="37">
        <v>0</v>
      </c>
      <c r="S18" s="31">
        <v>0</v>
      </c>
      <c r="T18" s="37">
        <v>0</v>
      </c>
      <c r="U18" s="30">
        <v>0</v>
      </c>
    </row>
    <row r="19" spans="2:21" ht="15" customHeight="1" x14ac:dyDescent="0.25">
      <c r="B19" s="14" t="s">
        <v>189</v>
      </c>
      <c r="C19" s="17">
        <v>0</v>
      </c>
      <c r="D19" s="25">
        <v>0</v>
      </c>
      <c r="E19" s="21">
        <v>0</v>
      </c>
      <c r="F19" s="37">
        <v>0</v>
      </c>
      <c r="G19" s="25">
        <v>0</v>
      </c>
      <c r="H19" s="21">
        <v>0</v>
      </c>
      <c r="I19" s="17">
        <v>0</v>
      </c>
      <c r="J19" s="25">
        <v>0</v>
      </c>
      <c r="K19" s="30">
        <v>0</v>
      </c>
      <c r="L19" s="17">
        <v>0</v>
      </c>
      <c r="M19" s="25">
        <v>0</v>
      </c>
      <c r="N19" s="31">
        <v>0</v>
      </c>
      <c r="O19" s="25">
        <v>0</v>
      </c>
      <c r="P19" s="25">
        <v>0</v>
      </c>
      <c r="Q19" s="21">
        <v>0</v>
      </c>
      <c r="R19" s="37">
        <v>0</v>
      </c>
      <c r="S19" s="31">
        <v>0</v>
      </c>
      <c r="T19" s="37">
        <v>0</v>
      </c>
      <c r="U19" s="30">
        <v>0</v>
      </c>
    </row>
    <row r="20" spans="2:21" ht="15" customHeight="1" x14ac:dyDescent="0.25">
      <c r="B20" s="14" t="s">
        <v>190</v>
      </c>
      <c r="C20" s="17">
        <v>0</v>
      </c>
      <c r="D20" s="25">
        <v>0</v>
      </c>
      <c r="E20" s="21">
        <v>0</v>
      </c>
      <c r="F20" s="37">
        <v>0</v>
      </c>
      <c r="G20" s="25">
        <v>0</v>
      </c>
      <c r="H20" s="21">
        <v>0</v>
      </c>
      <c r="I20" s="17">
        <v>0</v>
      </c>
      <c r="J20" s="25">
        <v>0</v>
      </c>
      <c r="K20" s="30">
        <v>0</v>
      </c>
      <c r="L20" s="17">
        <v>0</v>
      </c>
      <c r="M20" s="25">
        <v>0</v>
      </c>
      <c r="N20" s="31">
        <v>0</v>
      </c>
      <c r="O20" s="25">
        <v>0</v>
      </c>
      <c r="P20" s="25">
        <v>0</v>
      </c>
      <c r="Q20" s="21">
        <v>0</v>
      </c>
      <c r="R20" s="37">
        <v>0</v>
      </c>
      <c r="S20" s="31">
        <v>0</v>
      </c>
      <c r="T20" s="37">
        <v>0</v>
      </c>
      <c r="U20" s="30">
        <v>0</v>
      </c>
    </row>
    <row r="21" spans="2:21" ht="15" customHeight="1" x14ac:dyDescent="0.25">
      <c r="B21" s="14" t="s">
        <v>191</v>
      </c>
      <c r="C21" s="17">
        <v>0</v>
      </c>
      <c r="D21" s="25">
        <v>0</v>
      </c>
      <c r="E21" s="21">
        <v>0</v>
      </c>
      <c r="F21" s="37">
        <v>0</v>
      </c>
      <c r="G21" s="25">
        <v>0</v>
      </c>
      <c r="H21" s="21">
        <v>0</v>
      </c>
      <c r="I21" s="17">
        <v>0</v>
      </c>
      <c r="J21" s="25">
        <v>0</v>
      </c>
      <c r="K21" s="30">
        <v>0</v>
      </c>
      <c r="L21" s="17">
        <v>0</v>
      </c>
      <c r="M21" s="25">
        <v>0</v>
      </c>
      <c r="N21" s="31">
        <v>0</v>
      </c>
      <c r="O21" s="25">
        <v>0</v>
      </c>
      <c r="P21" s="25">
        <v>0</v>
      </c>
      <c r="Q21" s="21">
        <v>0</v>
      </c>
      <c r="R21" s="37">
        <v>0</v>
      </c>
      <c r="S21" s="31">
        <v>0</v>
      </c>
      <c r="T21" s="37">
        <v>0</v>
      </c>
      <c r="U21" s="30">
        <v>0</v>
      </c>
    </row>
    <row r="22" spans="2:21" ht="15" customHeight="1" x14ac:dyDescent="0.25">
      <c r="B22" s="14" t="s">
        <v>203</v>
      </c>
      <c r="C22" s="17">
        <v>0</v>
      </c>
      <c r="D22" s="25">
        <v>0</v>
      </c>
      <c r="E22" s="21">
        <v>0</v>
      </c>
      <c r="F22" s="37">
        <v>0</v>
      </c>
      <c r="G22" s="25">
        <v>0</v>
      </c>
      <c r="H22" s="21">
        <v>0</v>
      </c>
      <c r="I22" s="17">
        <v>0</v>
      </c>
      <c r="J22" s="25">
        <v>0</v>
      </c>
      <c r="K22" s="30">
        <v>0</v>
      </c>
      <c r="L22" s="17">
        <v>0</v>
      </c>
      <c r="M22" s="25">
        <v>0</v>
      </c>
      <c r="N22" s="31">
        <v>0</v>
      </c>
      <c r="O22" s="25">
        <v>0</v>
      </c>
      <c r="P22" s="25">
        <v>0</v>
      </c>
      <c r="Q22" s="21">
        <v>0</v>
      </c>
      <c r="R22" s="37">
        <v>0</v>
      </c>
      <c r="S22" s="31">
        <v>0</v>
      </c>
      <c r="T22" s="37">
        <v>0</v>
      </c>
      <c r="U22" s="30">
        <v>0</v>
      </c>
    </row>
    <row r="23" spans="2:21" ht="15" customHeight="1" x14ac:dyDescent="0.25">
      <c r="B23" s="14" t="s">
        <v>204</v>
      </c>
      <c r="C23" s="17">
        <v>0</v>
      </c>
      <c r="D23" s="25">
        <v>0</v>
      </c>
      <c r="E23" s="21">
        <v>0</v>
      </c>
      <c r="F23" s="37">
        <v>0</v>
      </c>
      <c r="G23" s="25">
        <v>0</v>
      </c>
      <c r="H23" s="21">
        <v>0</v>
      </c>
      <c r="I23" s="17">
        <v>0</v>
      </c>
      <c r="J23" s="25">
        <v>0</v>
      </c>
      <c r="K23" s="30">
        <v>0</v>
      </c>
      <c r="L23" s="17">
        <v>0</v>
      </c>
      <c r="M23" s="25">
        <v>0</v>
      </c>
      <c r="N23" s="31">
        <v>0</v>
      </c>
      <c r="O23" s="25">
        <v>0</v>
      </c>
      <c r="P23" s="25">
        <v>0</v>
      </c>
      <c r="Q23" s="21">
        <v>0</v>
      </c>
      <c r="R23" s="37">
        <v>0</v>
      </c>
      <c r="S23" s="31">
        <v>0</v>
      </c>
      <c r="T23" s="37">
        <v>0</v>
      </c>
      <c r="U23" s="30">
        <v>0</v>
      </c>
    </row>
    <row r="24" spans="2:21" ht="15" customHeight="1" x14ac:dyDescent="0.25">
      <c r="B24" s="14" t="s">
        <v>205</v>
      </c>
      <c r="C24" s="17">
        <v>0</v>
      </c>
      <c r="D24" s="25">
        <v>0</v>
      </c>
      <c r="E24" s="21">
        <v>0</v>
      </c>
      <c r="F24" s="37">
        <v>0</v>
      </c>
      <c r="G24" s="25">
        <v>0</v>
      </c>
      <c r="H24" s="21">
        <v>0</v>
      </c>
      <c r="I24" s="17">
        <v>0</v>
      </c>
      <c r="J24" s="25">
        <v>0</v>
      </c>
      <c r="K24" s="30">
        <v>0</v>
      </c>
      <c r="L24" s="17">
        <v>0</v>
      </c>
      <c r="M24" s="25">
        <v>0</v>
      </c>
      <c r="N24" s="31">
        <v>0</v>
      </c>
      <c r="O24" s="25">
        <v>0</v>
      </c>
      <c r="P24" s="25">
        <v>0</v>
      </c>
      <c r="Q24" s="21">
        <v>0</v>
      </c>
      <c r="R24" s="37">
        <v>0</v>
      </c>
      <c r="S24" s="31">
        <v>0</v>
      </c>
      <c r="T24" s="37">
        <v>0</v>
      </c>
      <c r="U24" s="30">
        <v>0</v>
      </c>
    </row>
    <row r="25" spans="2:21" ht="15" customHeight="1" x14ac:dyDescent="0.25">
      <c r="B25" s="14" t="s">
        <v>206</v>
      </c>
      <c r="C25" s="17">
        <v>0</v>
      </c>
      <c r="D25" s="25">
        <v>0</v>
      </c>
      <c r="E25" s="21">
        <v>0</v>
      </c>
      <c r="F25" s="37">
        <v>0</v>
      </c>
      <c r="G25" s="25">
        <v>0</v>
      </c>
      <c r="H25" s="21">
        <v>0</v>
      </c>
      <c r="I25" s="17">
        <v>0</v>
      </c>
      <c r="J25" s="25">
        <v>0</v>
      </c>
      <c r="K25" s="30">
        <v>0</v>
      </c>
      <c r="L25" s="17">
        <v>0</v>
      </c>
      <c r="M25" s="25">
        <v>0</v>
      </c>
      <c r="N25" s="31">
        <v>0</v>
      </c>
      <c r="O25" s="25">
        <v>0</v>
      </c>
      <c r="P25" s="25">
        <v>0</v>
      </c>
      <c r="Q25" s="21">
        <v>0</v>
      </c>
      <c r="R25" s="37">
        <v>0</v>
      </c>
      <c r="S25" s="31">
        <v>0</v>
      </c>
      <c r="T25" s="37">
        <v>0</v>
      </c>
      <c r="U25" s="30">
        <v>0</v>
      </c>
    </row>
    <row r="26" spans="2:21" ht="15" customHeight="1" x14ac:dyDescent="0.25">
      <c r="B26" s="14" t="s">
        <v>207</v>
      </c>
      <c r="C26" s="17">
        <v>0</v>
      </c>
      <c r="D26" s="25">
        <v>0</v>
      </c>
      <c r="E26" s="21">
        <v>0</v>
      </c>
      <c r="F26" s="37">
        <v>0</v>
      </c>
      <c r="G26" s="25">
        <v>0</v>
      </c>
      <c r="H26" s="21">
        <v>0</v>
      </c>
      <c r="I26" s="17">
        <v>0</v>
      </c>
      <c r="J26" s="25">
        <v>0</v>
      </c>
      <c r="K26" s="30">
        <v>0</v>
      </c>
      <c r="L26" s="17">
        <v>0</v>
      </c>
      <c r="M26" s="25">
        <v>0</v>
      </c>
      <c r="N26" s="31">
        <v>0</v>
      </c>
      <c r="O26" s="25">
        <v>0</v>
      </c>
      <c r="P26" s="25">
        <v>0</v>
      </c>
      <c r="Q26" s="21">
        <v>0</v>
      </c>
      <c r="R26" s="37">
        <v>0</v>
      </c>
      <c r="S26" s="31">
        <v>0</v>
      </c>
      <c r="T26" s="37">
        <v>0</v>
      </c>
      <c r="U26" s="30">
        <v>0</v>
      </c>
    </row>
    <row r="27" spans="2:21" ht="15" customHeight="1" x14ac:dyDescent="0.25">
      <c r="B27" s="14" t="s">
        <v>193</v>
      </c>
      <c r="C27" s="17">
        <v>17258</v>
      </c>
      <c r="D27" s="25">
        <v>5187</v>
      </c>
      <c r="E27" s="21">
        <v>30.055626376173368</v>
      </c>
      <c r="F27" s="37">
        <v>12071</v>
      </c>
      <c r="G27" s="25">
        <v>6032</v>
      </c>
      <c r="H27" s="21">
        <v>49.971004887747497</v>
      </c>
      <c r="I27" s="17">
        <v>17258</v>
      </c>
      <c r="J27" s="25">
        <v>1678</v>
      </c>
      <c r="K27" s="30">
        <v>9.7230270019701006</v>
      </c>
      <c r="L27" s="17">
        <v>17258</v>
      </c>
      <c r="M27" s="25">
        <v>839</v>
      </c>
      <c r="N27" s="31">
        <v>4.8615135009850503</v>
      </c>
      <c r="O27" s="25">
        <v>15274</v>
      </c>
      <c r="P27" s="25">
        <v>1557</v>
      </c>
      <c r="Q27" s="21">
        <v>10.193793374361661</v>
      </c>
      <c r="R27" s="37">
        <v>864</v>
      </c>
      <c r="S27" s="31">
        <v>5.0063738556031989</v>
      </c>
      <c r="T27" s="37">
        <v>281</v>
      </c>
      <c r="U27" s="30">
        <v>1.6282303859079847</v>
      </c>
    </row>
    <row r="28" spans="2:21" ht="15" customHeight="1" x14ac:dyDescent="0.25">
      <c r="B28" s="14" t="s">
        <v>194</v>
      </c>
      <c r="C28" s="17">
        <v>8861</v>
      </c>
      <c r="D28" s="25">
        <v>826</v>
      </c>
      <c r="E28" s="21">
        <v>9.3217469811533693</v>
      </c>
      <c r="F28" s="37">
        <v>8035</v>
      </c>
      <c r="G28" s="25">
        <v>2289</v>
      </c>
      <c r="H28" s="21">
        <v>28.487865588052269</v>
      </c>
      <c r="I28" s="17">
        <v>8861</v>
      </c>
      <c r="J28" s="25">
        <v>294</v>
      </c>
      <c r="K28" s="30">
        <v>3.3179099424444192</v>
      </c>
      <c r="L28" s="17">
        <v>8861</v>
      </c>
      <c r="M28" s="25">
        <v>206</v>
      </c>
      <c r="N28" s="31">
        <v>2.3247940413045933</v>
      </c>
      <c r="O28" s="25">
        <v>8051</v>
      </c>
      <c r="P28" s="25">
        <v>754</v>
      </c>
      <c r="Q28" s="21">
        <v>9.3652962364923606</v>
      </c>
      <c r="R28" s="37">
        <v>463</v>
      </c>
      <c r="S28" s="31">
        <v>5.2251438889515853</v>
      </c>
      <c r="T28" s="37">
        <v>141</v>
      </c>
      <c r="U28" s="30">
        <v>1.5912425234172214</v>
      </c>
    </row>
    <row r="29" spans="2:21" ht="15" customHeight="1" x14ac:dyDescent="0.25">
      <c r="B29" s="14" t="s">
        <v>195</v>
      </c>
      <c r="C29" s="17">
        <v>0</v>
      </c>
      <c r="D29" s="25">
        <v>0</v>
      </c>
      <c r="E29" s="21">
        <v>0</v>
      </c>
      <c r="F29" s="37">
        <v>0</v>
      </c>
      <c r="G29" s="25">
        <v>0</v>
      </c>
      <c r="H29" s="21">
        <v>0</v>
      </c>
      <c r="I29" s="17">
        <v>0</v>
      </c>
      <c r="J29" s="25">
        <v>0</v>
      </c>
      <c r="K29" s="30">
        <v>0</v>
      </c>
      <c r="L29" s="17">
        <v>0</v>
      </c>
      <c r="M29" s="25">
        <v>0</v>
      </c>
      <c r="N29" s="31">
        <v>0</v>
      </c>
      <c r="O29" s="25">
        <v>0</v>
      </c>
      <c r="P29" s="25">
        <v>0</v>
      </c>
      <c r="Q29" s="21">
        <v>0</v>
      </c>
      <c r="R29" s="37">
        <v>0</v>
      </c>
      <c r="S29" s="31">
        <v>0</v>
      </c>
      <c r="T29" s="37">
        <v>0</v>
      </c>
      <c r="U29" s="30">
        <v>0</v>
      </c>
    </row>
    <row r="30" spans="2:21" ht="15" customHeight="1" x14ac:dyDescent="0.25">
      <c r="B30" s="14" t="s">
        <v>196</v>
      </c>
      <c r="C30" s="17">
        <v>0</v>
      </c>
      <c r="D30" s="25">
        <v>0</v>
      </c>
      <c r="E30" s="21">
        <v>0</v>
      </c>
      <c r="F30" s="37">
        <v>0</v>
      </c>
      <c r="G30" s="25">
        <v>0</v>
      </c>
      <c r="H30" s="21">
        <v>0</v>
      </c>
      <c r="I30" s="17">
        <v>0</v>
      </c>
      <c r="J30" s="25">
        <v>0</v>
      </c>
      <c r="K30" s="30">
        <v>0</v>
      </c>
      <c r="L30" s="17">
        <v>0</v>
      </c>
      <c r="M30" s="25">
        <v>0</v>
      </c>
      <c r="N30" s="31">
        <v>0</v>
      </c>
      <c r="O30" s="25">
        <v>0</v>
      </c>
      <c r="P30" s="25">
        <v>0</v>
      </c>
      <c r="Q30" s="21">
        <v>0</v>
      </c>
      <c r="R30" s="37">
        <v>0</v>
      </c>
      <c r="S30" s="31">
        <v>0</v>
      </c>
      <c r="T30" s="37">
        <v>0</v>
      </c>
      <c r="U30" s="30">
        <v>0</v>
      </c>
    </row>
    <row r="31" spans="2:21" ht="15" customHeight="1" x14ac:dyDescent="0.25">
      <c r="B31" s="14" t="s">
        <v>197</v>
      </c>
      <c r="C31" s="17">
        <v>6602</v>
      </c>
      <c r="D31" s="25">
        <v>1544</v>
      </c>
      <c r="E31" s="21">
        <v>23.386852468948803</v>
      </c>
      <c r="F31" s="37">
        <v>5058</v>
      </c>
      <c r="G31" s="25">
        <v>2165</v>
      </c>
      <c r="H31" s="21">
        <v>42.803479636219848</v>
      </c>
      <c r="I31" s="17">
        <v>6602</v>
      </c>
      <c r="J31" s="25">
        <v>422</v>
      </c>
      <c r="K31" s="30">
        <v>6.3920024235080284</v>
      </c>
      <c r="L31" s="17">
        <v>6602</v>
      </c>
      <c r="M31" s="25">
        <v>149</v>
      </c>
      <c r="N31" s="31">
        <v>2.2568918509542559</v>
      </c>
      <c r="O31" s="25">
        <v>6035</v>
      </c>
      <c r="P31" s="25">
        <v>544</v>
      </c>
      <c r="Q31" s="21">
        <v>9.0140845070422539</v>
      </c>
      <c r="R31" s="37">
        <v>300</v>
      </c>
      <c r="S31" s="31">
        <v>4.5440775522568924</v>
      </c>
      <c r="T31" s="37">
        <v>118</v>
      </c>
      <c r="U31" s="30">
        <v>1.7873371705543775</v>
      </c>
    </row>
    <row r="32" spans="2:21" ht="15" customHeight="1" x14ac:dyDescent="0.25">
      <c r="B32" s="14" t="s">
        <v>198</v>
      </c>
      <c r="C32" s="17">
        <v>20410</v>
      </c>
      <c r="D32" s="25">
        <v>1969</v>
      </c>
      <c r="E32" s="21">
        <v>9.647231749142577</v>
      </c>
      <c r="F32" s="37">
        <v>18441</v>
      </c>
      <c r="G32" s="25">
        <v>6683</v>
      </c>
      <c r="H32" s="21">
        <v>36.239900222330675</v>
      </c>
      <c r="I32" s="17">
        <v>20410</v>
      </c>
      <c r="J32" s="25">
        <v>346</v>
      </c>
      <c r="K32" s="30">
        <v>1.6952474277315042</v>
      </c>
      <c r="L32" s="17">
        <v>20410</v>
      </c>
      <c r="M32" s="25">
        <v>185</v>
      </c>
      <c r="N32" s="31">
        <v>0.90641842234198911</v>
      </c>
      <c r="O32" s="25">
        <v>18643</v>
      </c>
      <c r="P32" s="25">
        <v>740</v>
      </c>
      <c r="Q32" s="21">
        <v>3.9693182427720859</v>
      </c>
      <c r="R32" s="37">
        <v>1349</v>
      </c>
      <c r="S32" s="31">
        <v>6.6095051445369926</v>
      </c>
      <c r="T32" s="37">
        <v>233</v>
      </c>
      <c r="U32" s="30">
        <v>1.1415972562469379</v>
      </c>
    </row>
    <row r="33" spans="2:21" ht="15" customHeight="1" x14ac:dyDescent="0.25">
      <c r="B33" s="14" t="s">
        <v>199</v>
      </c>
      <c r="C33" s="17">
        <v>0</v>
      </c>
      <c r="D33" s="25">
        <v>0</v>
      </c>
      <c r="E33" s="21">
        <v>0</v>
      </c>
      <c r="F33" s="37">
        <v>0</v>
      </c>
      <c r="G33" s="25">
        <v>0</v>
      </c>
      <c r="H33" s="21">
        <v>0</v>
      </c>
      <c r="I33" s="17">
        <v>0</v>
      </c>
      <c r="J33" s="25">
        <v>0</v>
      </c>
      <c r="K33" s="30">
        <v>0</v>
      </c>
      <c r="L33" s="17">
        <v>0</v>
      </c>
      <c r="M33" s="25">
        <v>0</v>
      </c>
      <c r="N33" s="31">
        <v>0</v>
      </c>
      <c r="O33" s="25">
        <v>0</v>
      </c>
      <c r="P33" s="25">
        <v>0</v>
      </c>
      <c r="Q33" s="21">
        <v>0</v>
      </c>
      <c r="R33" s="37">
        <v>0</v>
      </c>
      <c r="S33" s="31">
        <v>0</v>
      </c>
      <c r="T33" s="37">
        <v>0</v>
      </c>
      <c r="U33" s="30">
        <v>0</v>
      </c>
    </row>
    <row r="34" spans="2:21" ht="15" customHeight="1" x14ac:dyDescent="0.25">
      <c r="B34" s="14" t="s">
        <v>200</v>
      </c>
      <c r="C34" s="17">
        <v>3373</v>
      </c>
      <c r="D34" s="25">
        <v>156</v>
      </c>
      <c r="E34" s="21">
        <v>4.6249629410020754</v>
      </c>
      <c r="F34" s="37">
        <v>3217</v>
      </c>
      <c r="G34" s="25">
        <v>591</v>
      </c>
      <c r="H34" s="21">
        <v>18.371153248368046</v>
      </c>
      <c r="I34" s="17">
        <v>3373</v>
      </c>
      <c r="J34" s="25">
        <v>48</v>
      </c>
      <c r="K34" s="30">
        <v>1.4230655203083309</v>
      </c>
      <c r="L34" s="17">
        <v>3373</v>
      </c>
      <c r="M34" s="25">
        <v>36</v>
      </c>
      <c r="N34" s="31">
        <v>1.0672991402312482</v>
      </c>
      <c r="O34" s="25">
        <v>2805</v>
      </c>
      <c r="P34" s="25">
        <v>119</v>
      </c>
      <c r="Q34" s="21">
        <v>4.2424242424242431</v>
      </c>
      <c r="R34" s="37">
        <v>384</v>
      </c>
      <c r="S34" s="31">
        <v>11.384524162466647</v>
      </c>
      <c r="T34" s="37">
        <v>148</v>
      </c>
      <c r="U34" s="30">
        <v>4.3877853542840208</v>
      </c>
    </row>
    <row r="35" spans="2:21" ht="15" customHeight="1" x14ac:dyDescent="0.25">
      <c r="B35" s="14" t="s">
        <v>201</v>
      </c>
      <c r="C35" s="17">
        <v>5423</v>
      </c>
      <c r="D35" s="25">
        <v>592</v>
      </c>
      <c r="E35" s="21">
        <v>10.916466900239721</v>
      </c>
      <c r="F35" s="37">
        <v>4831</v>
      </c>
      <c r="G35" s="25">
        <v>1523</v>
      </c>
      <c r="H35" s="21">
        <v>31.525564065410887</v>
      </c>
      <c r="I35" s="17">
        <v>5423</v>
      </c>
      <c r="J35" s="25">
        <v>166</v>
      </c>
      <c r="K35" s="30">
        <v>3.0610363267564078</v>
      </c>
      <c r="L35" s="17">
        <v>5423</v>
      </c>
      <c r="M35" s="25">
        <v>114</v>
      </c>
      <c r="N35" s="31">
        <v>2.1021574774110272</v>
      </c>
      <c r="O35" s="25">
        <v>4883</v>
      </c>
      <c r="P35" s="25">
        <v>402</v>
      </c>
      <c r="Q35" s="21">
        <v>8.2326438664755273</v>
      </c>
      <c r="R35" s="37">
        <v>302</v>
      </c>
      <c r="S35" s="31">
        <v>5.5688733173520184</v>
      </c>
      <c r="T35" s="37">
        <v>124</v>
      </c>
      <c r="U35" s="30">
        <v>2.2865572561312928</v>
      </c>
    </row>
    <row r="36" spans="2:21" ht="15" customHeight="1" thickBot="1" x14ac:dyDescent="0.3">
      <c r="B36" s="13" t="s">
        <v>202</v>
      </c>
      <c r="C36" s="18">
        <v>13704</v>
      </c>
      <c r="D36" s="26">
        <v>2959</v>
      </c>
      <c r="E36" s="22">
        <v>21.592235843549329</v>
      </c>
      <c r="F36" s="37">
        <v>10745</v>
      </c>
      <c r="G36" s="26">
        <v>4426</v>
      </c>
      <c r="H36" s="21">
        <v>41.191251744997679</v>
      </c>
      <c r="I36" s="18">
        <v>13704</v>
      </c>
      <c r="J36" s="26">
        <v>1073</v>
      </c>
      <c r="K36" s="32">
        <v>7.8298307063631061</v>
      </c>
      <c r="L36" s="18">
        <v>13704</v>
      </c>
      <c r="M36" s="26">
        <v>441</v>
      </c>
      <c r="N36" s="33">
        <v>3.2180385288966726</v>
      </c>
      <c r="O36" s="25">
        <v>12484</v>
      </c>
      <c r="P36" s="26">
        <v>1404</v>
      </c>
      <c r="Q36" s="21">
        <v>11.2463953860942</v>
      </c>
      <c r="R36" s="38">
        <v>567</v>
      </c>
      <c r="S36" s="33">
        <v>4.1374781085814361</v>
      </c>
      <c r="T36" s="38">
        <v>212</v>
      </c>
      <c r="U36" s="32">
        <v>1.5469935785172213</v>
      </c>
    </row>
    <row r="37" spans="2:21" ht="15" customHeight="1" thickBot="1" x14ac:dyDescent="0.3">
      <c r="B37" s="15" t="s">
        <v>44</v>
      </c>
      <c r="C37" s="19">
        <f>SUM(C8:C36)</f>
        <v>98940</v>
      </c>
      <c r="D37" s="27">
        <f>SUM(D8:D36)</f>
        <v>20698</v>
      </c>
      <c r="E37" s="23">
        <f>D37/C37*100</f>
        <v>20.919749343036184</v>
      </c>
      <c r="F37" s="39">
        <f>SUM(F8:F36)</f>
        <v>78242</v>
      </c>
      <c r="G37" s="27">
        <f>SUM(G8:G36)</f>
        <v>32270</v>
      </c>
      <c r="H37" s="23">
        <f>G37/F37*100</f>
        <v>41.243833235346742</v>
      </c>
      <c r="I37" s="19">
        <f>SUM(I8:I36)</f>
        <v>98940</v>
      </c>
      <c r="J37" s="27">
        <f>SUM(J8:J36)</f>
        <v>5593</v>
      </c>
      <c r="K37" s="34">
        <f>J37/I37*100</f>
        <v>5.6529209621993131</v>
      </c>
      <c r="L37" s="19">
        <f>SUM(L8:L36)</f>
        <v>98940</v>
      </c>
      <c r="M37" s="27">
        <f>SUM(M8:M36)</f>
        <v>2429</v>
      </c>
      <c r="N37" s="35">
        <f>M37/L37*100</f>
        <v>2.455023246411967</v>
      </c>
      <c r="O37" s="27">
        <f>SUM(O8:O36)</f>
        <v>89388</v>
      </c>
      <c r="P37" s="27">
        <f>SUM(P8:P36)</f>
        <v>6942</v>
      </c>
      <c r="Q37" s="35">
        <f>P37/O37*100</f>
        <v>7.7661431064572417</v>
      </c>
      <c r="R37" s="39">
        <f>SUM(R8:R36)</f>
        <v>5494</v>
      </c>
      <c r="S37" s="35">
        <f>R37/L37*100</f>
        <v>5.552860319385486</v>
      </c>
      <c r="T37" s="39">
        <f>SUM(T8:T36)</f>
        <v>1629</v>
      </c>
      <c r="U37" s="34">
        <f>T37/L37*100</f>
        <v>1.6464523953911463</v>
      </c>
    </row>
    <row r="38" spans="2:21" ht="15" customHeight="1" x14ac:dyDescent="0.25">
      <c r="B38" s="2" t="str">
        <f>_xlfn.CONCAT("Fuente: Sistema de Información SIEN - HIS, ",RIGHT(INICIO!C8,4),".")</f>
        <v>Fuente: Sistema de Información SIEN - HIS, 2025.</v>
      </c>
      <c r="C38" s="2"/>
    </row>
    <row r="39" spans="2:21" ht="15" customHeight="1" x14ac:dyDescent="0.25">
      <c r="B39" s="2" t="s">
        <v>69</v>
      </c>
      <c r="C39" s="2"/>
    </row>
    <row r="40" spans="2:21" ht="15" customHeight="1" x14ac:dyDescent="0.25">
      <c r="B40" s="2" t="s">
        <v>16</v>
      </c>
      <c r="C40" s="2"/>
    </row>
    <row r="41" spans="2:21" ht="15" customHeight="1" x14ac:dyDescent="0.25">
      <c r="B41" s="2" t="s">
        <v>21</v>
      </c>
      <c r="C41" s="2"/>
    </row>
  </sheetData>
  <sortState xmlns:xlrd2="http://schemas.microsoft.com/office/spreadsheetml/2017/richdata2" ref="B8:U36">
    <sortCondition ref="B8:B36"/>
  </sortState>
  <mergeCells count="18">
    <mergeCell ref="G6:H6"/>
    <mergeCell ref="F6:F7"/>
    <mergeCell ref="B2:U2"/>
    <mergeCell ref="B3:U3"/>
    <mergeCell ref="B5:B7"/>
    <mergeCell ref="C5:H5"/>
    <mergeCell ref="I5:K5"/>
    <mergeCell ref="L5:U5"/>
    <mergeCell ref="C6:C7"/>
    <mergeCell ref="D6:E6"/>
    <mergeCell ref="I6:I7"/>
    <mergeCell ref="J6:K6"/>
    <mergeCell ref="L6:L7"/>
    <mergeCell ref="M6:N6"/>
    <mergeCell ref="R6:S6"/>
    <mergeCell ref="P6:Q6"/>
    <mergeCell ref="O6:O7"/>
    <mergeCell ref="T6:U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00B050"/>
  </sheetPr>
  <dimension ref="B2:X98"/>
  <sheetViews>
    <sheetView showGridLines="0" topLeftCell="A2" zoomScaleNormal="100" workbookViewId="0">
      <selection activeCell="B8" sqref="B8:X9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4" width="12.7109375" style="1" customWidth="1"/>
    <col min="25" max="16384" width="11.42578125" style="1"/>
  </cols>
  <sheetData>
    <row r="2" spans="2:24" ht="84.95" customHeight="1" x14ac:dyDescent="0.25">
      <c r="B2" s="89" t="s">
        <v>58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2:24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2:24" ht="15" customHeight="1" thickBot="1" x14ac:dyDescent="0.3"/>
    <row r="5" spans="2:24" ht="15" customHeight="1" thickBot="1" x14ac:dyDescent="0.3">
      <c r="B5" s="92" t="s">
        <v>0</v>
      </c>
      <c r="C5" s="92" t="s">
        <v>5</v>
      </c>
      <c r="D5" s="92" t="s">
        <v>6</v>
      </c>
      <c r="E5" s="92" t="s">
        <v>7</v>
      </c>
      <c r="F5" s="91" t="s">
        <v>11</v>
      </c>
      <c r="G5" s="91"/>
      <c r="H5" s="91"/>
      <c r="I5" s="91"/>
      <c r="J5" s="91"/>
      <c r="K5" s="91"/>
      <c r="L5" s="91" t="s">
        <v>12</v>
      </c>
      <c r="M5" s="91"/>
      <c r="N5" s="91"/>
      <c r="O5" s="91" t="s">
        <v>14</v>
      </c>
      <c r="P5" s="91"/>
      <c r="Q5" s="91"/>
      <c r="R5" s="91"/>
      <c r="S5" s="91"/>
      <c r="T5" s="91"/>
      <c r="U5" s="91"/>
      <c r="V5" s="91"/>
      <c r="W5" s="91"/>
      <c r="X5" s="91"/>
    </row>
    <row r="6" spans="2:24" ht="15" customHeight="1" thickBot="1" x14ac:dyDescent="0.3">
      <c r="B6" s="92"/>
      <c r="C6" s="92"/>
      <c r="D6" s="92"/>
      <c r="E6" s="92"/>
      <c r="F6" s="91" t="s">
        <v>10</v>
      </c>
      <c r="G6" s="91" t="s">
        <v>9</v>
      </c>
      <c r="H6" s="91"/>
      <c r="I6" s="91" t="s">
        <v>10</v>
      </c>
      <c r="J6" s="95" t="s">
        <v>20</v>
      </c>
      <c r="K6" s="94"/>
      <c r="L6" s="91" t="s">
        <v>10</v>
      </c>
      <c r="M6" s="91" t="s">
        <v>13</v>
      </c>
      <c r="N6" s="91"/>
      <c r="O6" s="91" t="s">
        <v>10</v>
      </c>
      <c r="P6" s="91" t="s">
        <v>15</v>
      </c>
      <c r="Q6" s="91"/>
      <c r="R6" s="91" t="s">
        <v>10</v>
      </c>
      <c r="S6" s="93" t="s">
        <v>41</v>
      </c>
      <c r="T6" s="94"/>
      <c r="U6" s="91" t="s">
        <v>3</v>
      </c>
      <c r="V6" s="91"/>
      <c r="W6" s="91" t="s">
        <v>4</v>
      </c>
      <c r="X6" s="91"/>
    </row>
    <row r="7" spans="2:24" ht="30" customHeight="1" thickBot="1" x14ac:dyDescent="0.3">
      <c r="B7" s="92"/>
      <c r="C7" s="92"/>
      <c r="D7" s="92"/>
      <c r="E7" s="92"/>
      <c r="F7" s="91"/>
      <c r="G7" s="9" t="s">
        <v>1</v>
      </c>
      <c r="H7" s="9" t="s">
        <v>2</v>
      </c>
      <c r="I7" s="91"/>
      <c r="J7" s="9" t="s">
        <v>1</v>
      </c>
      <c r="K7" s="9" t="s">
        <v>2</v>
      </c>
      <c r="L7" s="91"/>
      <c r="M7" s="9" t="s">
        <v>1</v>
      </c>
      <c r="N7" s="9" t="s">
        <v>2</v>
      </c>
      <c r="O7" s="91"/>
      <c r="P7" s="9" t="s">
        <v>1</v>
      </c>
      <c r="Q7" s="9" t="s">
        <v>2</v>
      </c>
      <c r="R7" s="91"/>
      <c r="S7" s="9" t="s">
        <v>1</v>
      </c>
      <c r="T7" s="9" t="s">
        <v>2</v>
      </c>
      <c r="U7" s="9" t="s">
        <v>1</v>
      </c>
      <c r="V7" s="9" t="s">
        <v>2</v>
      </c>
      <c r="W7" s="9" t="s">
        <v>1</v>
      </c>
      <c r="X7" s="9" t="s">
        <v>2</v>
      </c>
    </row>
    <row r="8" spans="2:24" ht="15" customHeight="1" x14ac:dyDescent="0.25">
      <c r="B8" s="4" t="s">
        <v>178</v>
      </c>
      <c r="C8" s="7" t="s">
        <v>208</v>
      </c>
      <c r="D8" s="6" t="s">
        <v>209</v>
      </c>
      <c r="E8" s="8">
        <v>10205</v>
      </c>
      <c r="F8" s="16">
        <v>8060</v>
      </c>
      <c r="G8" s="24">
        <v>2898</v>
      </c>
      <c r="H8" s="20">
        <v>35.955334987593055</v>
      </c>
      <c r="I8" s="36">
        <v>5162</v>
      </c>
      <c r="J8" s="24">
        <v>2988</v>
      </c>
      <c r="K8" s="20">
        <v>57.884540875629597</v>
      </c>
      <c r="L8" s="16">
        <v>8060</v>
      </c>
      <c r="M8" s="24">
        <v>452</v>
      </c>
      <c r="N8" s="28">
        <v>5.6079404466501241</v>
      </c>
      <c r="O8" s="16">
        <v>8060</v>
      </c>
      <c r="P8" s="24">
        <v>135</v>
      </c>
      <c r="Q8" s="29">
        <v>1.6749379652605458</v>
      </c>
      <c r="R8" s="72">
        <v>7265</v>
      </c>
      <c r="S8" s="72">
        <v>403</v>
      </c>
      <c r="T8" s="20">
        <v>5.5471438403303504</v>
      </c>
      <c r="U8" s="36">
        <v>525</v>
      </c>
      <c r="V8" s="29">
        <v>6.513647642679901</v>
      </c>
      <c r="W8" s="36">
        <v>135</v>
      </c>
      <c r="X8" s="28">
        <v>1.6749379652605458</v>
      </c>
    </row>
    <row r="9" spans="2:24" ht="15" customHeight="1" x14ac:dyDescent="0.25">
      <c r="B9" s="5" t="s">
        <v>178</v>
      </c>
      <c r="C9" s="7" t="s">
        <v>210</v>
      </c>
      <c r="D9" s="7" t="s">
        <v>211</v>
      </c>
      <c r="E9" s="44">
        <v>10402</v>
      </c>
      <c r="F9" s="17">
        <v>3282</v>
      </c>
      <c r="G9" s="25">
        <v>1314</v>
      </c>
      <c r="H9" s="21">
        <v>40.036563071297984</v>
      </c>
      <c r="I9" s="37">
        <v>1968</v>
      </c>
      <c r="J9" s="25">
        <v>1165</v>
      </c>
      <c r="K9" s="21">
        <v>59.197154471544714</v>
      </c>
      <c r="L9" s="17">
        <v>3282</v>
      </c>
      <c r="M9" s="25">
        <v>225</v>
      </c>
      <c r="N9" s="30">
        <v>6.8555758683729433</v>
      </c>
      <c r="O9" s="17">
        <v>3282</v>
      </c>
      <c r="P9" s="25">
        <v>47</v>
      </c>
      <c r="Q9" s="31">
        <v>1.4320536258379037</v>
      </c>
      <c r="R9" s="25">
        <v>2869</v>
      </c>
      <c r="S9" s="25">
        <v>162</v>
      </c>
      <c r="T9" s="21">
        <v>5.6465667479958173</v>
      </c>
      <c r="U9" s="37">
        <v>266</v>
      </c>
      <c r="V9" s="31">
        <v>8.1048141377209024</v>
      </c>
      <c r="W9" s="37">
        <v>100</v>
      </c>
      <c r="X9" s="30">
        <v>3.0469226081657528</v>
      </c>
    </row>
    <row r="10" spans="2:24" ht="15" customHeight="1" x14ac:dyDescent="0.25">
      <c r="B10" s="5" t="s">
        <v>178</v>
      </c>
      <c r="C10" s="7" t="s">
        <v>210</v>
      </c>
      <c r="D10" s="7" t="s">
        <v>212</v>
      </c>
      <c r="E10" s="44">
        <v>10403</v>
      </c>
      <c r="F10" s="17">
        <v>4401</v>
      </c>
      <c r="G10" s="25">
        <v>1617</v>
      </c>
      <c r="H10" s="21">
        <v>36.741649625085209</v>
      </c>
      <c r="I10" s="37">
        <v>2784</v>
      </c>
      <c r="J10" s="25">
        <v>1592</v>
      </c>
      <c r="K10" s="21">
        <v>57.18390804597702</v>
      </c>
      <c r="L10" s="17">
        <v>4401</v>
      </c>
      <c r="M10" s="25">
        <v>482</v>
      </c>
      <c r="N10" s="30">
        <v>10.952056350829357</v>
      </c>
      <c r="O10" s="17">
        <v>4401</v>
      </c>
      <c r="P10" s="25">
        <v>139</v>
      </c>
      <c r="Q10" s="31">
        <v>3.1583730970234036</v>
      </c>
      <c r="R10" s="25">
        <v>4041</v>
      </c>
      <c r="S10" s="25">
        <v>361</v>
      </c>
      <c r="T10" s="21">
        <v>8.9334323187329865</v>
      </c>
      <c r="U10" s="37">
        <v>166</v>
      </c>
      <c r="V10" s="31">
        <v>3.7718700295387411</v>
      </c>
      <c r="W10" s="37">
        <v>55</v>
      </c>
      <c r="X10" s="30">
        <v>1.249715973642354</v>
      </c>
    </row>
    <row r="11" spans="2:24" ht="15" customHeight="1" x14ac:dyDescent="0.25">
      <c r="B11" s="5" t="s">
        <v>183</v>
      </c>
      <c r="C11" s="7" t="s">
        <v>213</v>
      </c>
      <c r="D11" s="7" t="s">
        <v>214</v>
      </c>
      <c r="E11" s="44">
        <v>60903</v>
      </c>
      <c r="F11" s="17">
        <v>1689</v>
      </c>
      <c r="G11" s="25">
        <v>265</v>
      </c>
      <c r="H11" s="21">
        <v>15.689757252812313</v>
      </c>
      <c r="I11" s="37">
        <v>1424</v>
      </c>
      <c r="J11" s="25">
        <v>581</v>
      </c>
      <c r="K11" s="21">
        <v>40.800561797752813</v>
      </c>
      <c r="L11" s="17">
        <v>1689</v>
      </c>
      <c r="M11" s="25">
        <v>69</v>
      </c>
      <c r="N11" s="30">
        <v>4.0852575488454708</v>
      </c>
      <c r="O11" s="17">
        <v>1689</v>
      </c>
      <c r="P11" s="25">
        <v>39</v>
      </c>
      <c r="Q11" s="31">
        <v>2.3090586145648313</v>
      </c>
      <c r="R11" s="25">
        <v>1550</v>
      </c>
      <c r="S11" s="25">
        <v>126</v>
      </c>
      <c r="T11" s="21">
        <v>8.129032258064516</v>
      </c>
      <c r="U11" s="37">
        <v>82</v>
      </c>
      <c r="V11" s="31">
        <v>4.8549437537004145</v>
      </c>
      <c r="W11" s="37">
        <v>18</v>
      </c>
      <c r="X11" s="30">
        <v>1.0657193605683837</v>
      </c>
    </row>
    <row r="12" spans="2:24" ht="15" customHeight="1" x14ac:dyDescent="0.25">
      <c r="B12" s="5" t="s">
        <v>183</v>
      </c>
      <c r="C12" s="7" t="s">
        <v>213</v>
      </c>
      <c r="D12" s="7" t="s">
        <v>215</v>
      </c>
      <c r="E12" s="44">
        <v>60905</v>
      </c>
      <c r="F12" s="17">
        <v>983</v>
      </c>
      <c r="G12" s="25">
        <v>238</v>
      </c>
      <c r="H12" s="21">
        <v>24.211597151576804</v>
      </c>
      <c r="I12" s="37">
        <v>745</v>
      </c>
      <c r="J12" s="25">
        <v>380</v>
      </c>
      <c r="K12" s="21">
        <v>51.006711409395976</v>
      </c>
      <c r="L12" s="17">
        <v>983</v>
      </c>
      <c r="M12" s="25">
        <v>53</v>
      </c>
      <c r="N12" s="30">
        <v>5.3916581892166837</v>
      </c>
      <c r="O12" s="17">
        <v>983</v>
      </c>
      <c r="P12" s="25">
        <v>24</v>
      </c>
      <c r="Q12" s="31">
        <v>2.4415055951169888</v>
      </c>
      <c r="R12" s="25">
        <v>908</v>
      </c>
      <c r="S12" s="25">
        <v>66</v>
      </c>
      <c r="T12" s="21">
        <v>7.2687224669603516</v>
      </c>
      <c r="U12" s="37">
        <v>31</v>
      </c>
      <c r="V12" s="31">
        <v>3.1536113936927768</v>
      </c>
      <c r="W12" s="37">
        <v>20</v>
      </c>
      <c r="X12" s="30">
        <v>2.0345879959308242</v>
      </c>
    </row>
    <row r="13" spans="2:24" ht="15" customHeight="1" x14ac:dyDescent="0.25">
      <c r="B13" s="5" t="s">
        <v>183</v>
      </c>
      <c r="C13" s="7" t="s">
        <v>213</v>
      </c>
      <c r="D13" s="7" t="s">
        <v>213</v>
      </c>
      <c r="E13" s="44">
        <v>60901</v>
      </c>
      <c r="F13" s="17">
        <v>3024</v>
      </c>
      <c r="G13" s="25">
        <v>740</v>
      </c>
      <c r="H13" s="21">
        <v>24.470899470899472</v>
      </c>
      <c r="I13" s="37">
        <v>2284</v>
      </c>
      <c r="J13" s="25">
        <v>1186</v>
      </c>
      <c r="K13" s="21">
        <v>51.926444833625219</v>
      </c>
      <c r="L13" s="17">
        <v>3024</v>
      </c>
      <c r="M13" s="25">
        <v>197</v>
      </c>
      <c r="N13" s="30">
        <v>6.5145502645502642</v>
      </c>
      <c r="O13" s="17">
        <v>3024</v>
      </c>
      <c r="P13" s="25">
        <v>42</v>
      </c>
      <c r="Q13" s="31">
        <v>1.3888888888888888</v>
      </c>
      <c r="R13" s="25">
        <v>2829</v>
      </c>
      <c r="S13" s="25">
        <v>198</v>
      </c>
      <c r="T13" s="21">
        <v>6.9989395546129369</v>
      </c>
      <c r="U13" s="37">
        <v>119</v>
      </c>
      <c r="V13" s="31">
        <v>3.9351851851851851</v>
      </c>
      <c r="W13" s="37">
        <v>34</v>
      </c>
      <c r="X13" s="30">
        <v>1.1243386243386242</v>
      </c>
    </row>
    <row r="14" spans="2:24" ht="15" customHeight="1" x14ac:dyDescent="0.25">
      <c r="B14" s="5" t="s">
        <v>183</v>
      </c>
      <c r="C14" s="7" t="s">
        <v>213</v>
      </c>
      <c r="D14" s="7" t="s">
        <v>216</v>
      </c>
      <c r="E14" s="44">
        <v>60906</v>
      </c>
      <c r="F14" s="17">
        <v>1870</v>
      </c>
      <c r="G14" s="25">
        <v>393</v>
      </c>
      <c r="H14" s="21">
        <v>21.016042780748663</v>
      </c>
      <c r="I14" s="37">
        <v>1477</v>
      </c>
      <c r="J14" s="25">
        <v>669</v>
      </c>
      <c r="K14" s="21">
        <v>45.294515910629656</v>
      </c>
      <c r="L14" s="17">
        <v>1870</v>
      </c>
      <c r="M14" s="25">
        <v>88</v>
      </c>
      <c r="N14" s="30">
        <v>4.7058823529411766</v>
      </c>
      <c r="O14" s="17">
        <v>1870</v>
      </c>
      <c r="P14" s="25">
        <v>33</v>
      </c>
      <c r="Q14" s="31">
        <v>1.7647058823529411</v>
      </c>
      <c r="R14" s="25">
        <v>1751</v>
      </c>
      <c r="S14" s="25">
        <v>106</v>
      </c>
      <c r="T14" s="21">
        <v>6.0536836093660762</v>
      </c>
      <c r="U14" s="37">
        <v>76</v>
      </c>
      <c r="V14" s="31">
        <v>4.0641711229946527</v>
      </c>
      <c r="W14" s="37">
        <v>10</v>
      </c>
      <c r="X14" s="30">
        <v>0.53475935828876997</v>
      </c>
    </row>
    <row r="15" spans="2:24" ht="15" customHeight="1" x14ac:dyDescent="0.25">
      <c r="B15" s="5" t="s">
        <v>193</v>
      </c>
      <c r="C15" s="7" t="s">
        <v>217</v>
      </c>
      <c r="D15" s="7" t="s">
        <v>218</v>
      </c>
      <c r="E15" s="44">
        <v>160706</v>
      </c>
      <c r="F15" s="58">
        <v>3122</v>
      </c>
      <c r="G15" s="59">
        <v>1241</v>
      </c>
      <c r="H15" s="60">
        <v>39.750160153747601</v>
      </c>
      <c r="I15" s="37">
        <v>1881</v>
      </c>
      <c r="J15" s="59">
        <v>976</v>
      </c>
      <c r="K15" s="21">
        <v>51.887293992557147</v>
      </c>
      <c r="L15" s="58">
        <v>3122</v>
      </c>
      <c r="M15" s="59">
        <v>502</v>
      </c>
      <c r="N15" s="62">
        <v>16.079436258808457</v>
      </c>
      <c r="O15" s="58">
        <v>3122</v>
      </c>
      <c r="P15" s="59">
        <v>262</v>
      </c>
      <c r="Q15" s="63">
        <v>8.3920563741191536</v>
      </c>
      <c r="R15" s="25">
        <v>2631</v>
      </c>
      <c r="S15" s="59">
        <v>376</v>
      </c>
      <c r="T15" s="21">
        <v>14.291144051691374</v>
      </c>
      <c r="U15" s="61">
        <v>161</v>
      </c>
      <c r="V15" s="63">
        <v>5.1569506726457401</v>
      </c>
      <c r="W15" s="61">
        <v>68</v>
      </c>
      <c r="X15" s="62">
        <v>2.1780909673286355</v>
      </c>
    </row>
    <row r="16" spans="2:24" ht="15" customHeight="1" x14ac:dyDescent="0.25">
      <c r="B16" s="5" t="s">
        <v>193</v>
      </c>
      <c r="C16" s="7" t="s">
        <v>217</v>
      </c>
      <c r="D16" s="7" t="s">
        <v>219</v>
      </c>
      <c r="E16" s="44">
        <v>160704</v>
      </c>
      <c r="F16" s="17">
        <v>2088</v>
      </c>
      <c r="G16" s="25">
        <v>625</v>
      </c>
      <c r="H16" s="21">
        <v>29.932950191570885</v>
      </c>
      <c r="I16" s="37">
        <v>1463</v>
      </c>
      <c r="J16" s="25">
        <v>746</v>
      </c>
      <c r="K16" s="21">
        <v>50.991114149008887</v>
      </c>
      <c r="L16" s="17">
        <v>2088</v>
      </c>
      <c r="M16" s="25">
        <v>216</v>
      </c>
      <c r="N16" s="30">
        <v>10.344827586206897</v>
      </c>
      <c r="O16" s="17">
        <v>2088</v>
      </c>
      <c r="P16" s="25">
        <v>118</v>
      </c>
      <c r="Q16" s="31">
        <v>5.6513409961685825</v>
      </c>
      <c r="R16" s="25">
        <v>1826</v>
      </c>
      <c r="S16" s="25">
        <v>204</v>
      </c>
      <c r="T16" s="21">
        <v>11.171960569550931</v>
      </c>
      <c r="U16" s="37">
        <v>108</v>
      </c>
      <c r="V16" s="31">
        <v>5.1724137931034484</v>
      </c>
      <c r="W16" s="37">
        <v>36</v>
      </c>
      <c r="X16" s="30">
        <v>1.7241379310344827</v>
      </c>
    </row>
    <row r="17" spans="2:24" ht="15" customHeight="1" x14ac:dyDescent="0.25">
      <c r="B17" s="5" t="s">
        <v>193</v>
      </c>
      <c r="C17" s="7" t="s">
        <v>193</v>
      </c>
      <c r="D17" s="7" t="s">
        <v>220</v>
      </c>
      <c r="E17" s="44">
        <v>160303</v>
      </c>
      <c r="F17" s="17">
        <v>1337</v>
      </c>
      <c r="G17" s="25">
        <v>457</v>
      </c>
      <c r="H17" s="21">
        <v>34.181002243829468</v>
      </c>
      <c r="I17" s="37">
        <v>880</v>
      </c>
      <c r="J17" s="25">
        <v>468</v>
      </c>
      <c r="K17" s="21">
        <v>53.181818181818187</v>
      </c>
      <c r="L17" s="17">
        <v>1337</v>
      </c>
      <c r="M17" s="25">
        <v>124</v>
      </c>
      <c r="N17" s="30">
        <v>9.2744951383694847</v>
      </c>
      <c r="O17" s="17">
        <v>1337</v>
      </c>
      <c r="P17" s="25">
        <v>73</v>
      </c>
      <c r="Q17" s="31">
        <v>5.459985041136874</v>
      </c>
      <c r="R17" s="25">
        <v>1146</v>
      </c>
      <c r="S17" s="25">
        <v>127</v>
      </c>
      <c r="T17" s="21">
        <v>11.082024432809773</v>
      </c>
      <c r="U17" s="37">
        <v>85</v>
      </c>
      <c r="V17" s="31">
        <v>6.3575168287210175</v>
      </c>
      <c r="W17" s="37">
        <v>33</v>
      </c>
      <c r="X17" s="30">
        <v>2.4682124158563949</v>
      </c>
    </row>
    <row r="18" spans="2:24" ht="15" customHeight="1" x14ac:dyDescent="0.25">
      <c r="B18" s="5" t="s">
        <v>193</v>
      </c>
      <c r="C18" s="7" t="s">
        <v>193</v>
      </c>
      <c r="D18" s="7" t="s">
        <v>221</v>
      </c>
      <c r="E18" s="44">
        <v>160304</v>
      </c>
      <c r="F18" s="17">
        <v>1489</v>
      </c>
      <c r="G18" s="25">
        <v>391</v>
      </c>
      <c r="H18" s="21">
        <v>26.259234385493617</v>
      </c>
      <c r="I18" s="37">
        <v>1098</v>
      </c>
      <c r="J18" s="25">
        <v>553</v>
      </c>
      <c r="K18" s="21">
        <v>50.364298724954459</v>
      </c>
      <c r="L18" s="17">
        <v>1489</v>
      </c>
      <c r="M18" s="25">
        <v>98</v>
      </c>
      <c r="N18" s="30">
        <v>6.5815983881799864</v>
      </c>
      <c r="O18" s="17">
        <v>1489</v>
      </c>
      <c r="P18" s="25">
        <v>49</v>
      </c>
      <c r="Q18" s="31">
        <v>3.2907991940899932</v>
      </c>
      <c r="R18" s="25">
        <v>1331</v>
      </c>
      <c r="S18" s="25">
        <v>101</v>
      </c>
      <c r="T18" s="21">
        <v>7.5882794891059353</v>
      </c>
      <c r="U18" s="37">
        <v>91</v>
      </c>
      <c r="V18" s="31">
        <v>6.1114842175957014</v>
      </c>
      <c r="W18" s="37">
        <v>18</v>
      </c>
      <c r="X18" s="30">
        <v>1.2088650100738749</v>
      </c>
    </row>
    <row r="19" spans="2:24" ht="15" customHeight="1" x14ac:dyDescent="0.25">
      <c r="B19" s="5" t="s">
        <v>193</v>
      </c>
      <c r="C19" s="7" t="s">
        <v>222</v>
      </c>
      <c r="D19" s="7" t="s">
        <v>223</v>
      </c>
      <c r="E19" s="44">
        <v>160401</v>
      </c>
      <c r="F19" s="17">
        <v>2846</v>
      </c>
      <c r="G19" s="25">
        <v>758</v>
      </c>
      <c r="H19" s="21">
        <v>26.633872101194662</v>
      </c>
      <c r="I19" s="37">
        <v>2088</v>
      </c>
      <c r="J19" s="25">
        <v>1029</v>
      </c>
      <c r="K19" s="21">
        <v>49.281609195402297</v>
      </c>
      <c r="L19" s="17">
        <v>2846</v>
      </c>
      <c r="M19" s="25">
        <v>252</v>
      </c>
      <c r="N19" s="30">
        <v>8.854532677442025</v>
      </c>
      <c r="O19" s="17">
        <v>2846</v>
      </c>
      <c r="P19" s="25">
        <v>147</v>
      </c>
      <c r="Q19" s="31">
        <v>5.1651440618411808</v>
      </c>
      <c r="R19" s="25">
        <v>2510</v>
      </c>
      <c r="S19" s="25">
        <v>273</v>
      </c>
      <c r="T19" s="21">
        <v>10.876494023904383</v>
      </c>
      <c r="U19" s="37">
        <v>143</v>
      </c>
      <c r="V19" s="31">
        <v>5.0245959241040055</v>
      </c>
      <c r="W19" s="37">
        <v>46</v>
      </c>
      <c r="X19" s="30">
        <v>1.6163035839775124</v>
      </c>
    </row>
    <row r="20" spans="2:24" ht="15" customHeight="1" x14ac:dyDescent="0.25">
      <c r="B20" s="5" t="s">
        <v>193</v>
      </c>
      <c r="C20" s="7" t="s">
        <v>222</v>
      </c>
      <c r="D20" s="7" t="s">
        <v>224</v>
      </c>
      <c r="E20" s="44">
        <v>160403</v>
      </c>
      <c r="F20" s="17">
        <v>1451</v>
      </c>
      <c r="G20" s="25">
        <v>278</v>
      </c>
      <c r="H20" s="21">
        <v>19.159200551343901</v>
      </c>
      <c r="I20" s="37">
        <v>1173</v>
      </c>
      <c r="J20" s="25">
        <v>468</v>
      </c>
      <c r="K20" s="21">
        <v>39.897698209718669</v>
      </c>
      <c r="L20" s="17">
        <v>1451</v>
      </c>
      <c r="M20" s="25">
        <v>83</v>
      </c>
      <c r="N20" s="30">
        <v>5.7201929703652654</v>
      </c>
      <c r="O20" s="17">
        <v>1451</v>
      </c>
      <c r="P20" s="25">
        <v>48</v>
      </c>
      <c r="Q20" s="31">
        <v>3.3080634045485868</v>
      </c>
      <c r="R20" s="25">
        <v>1304</v>
      </c>
      <c r="S20" s="25">
        <v>101</v>
      </c>
      <c r="T20" s="21">
        <v>7.7453987730061344</v>
      </c>
      <c r="U20" s="37">
        <v>73</v>
      </c>
      <c r="V20" s="31">
        <v>5.0310130944176432</v>
      </c>
      <c r="W20" s="37">
        <v>26</v>
      </c>
      <c r="X20" s="30">
        <v>1.7918676774638183</v>
      </c>
    </row>
    <row r="21" spans="2:24" ht="15" customHeight="1" x14ac:dyDescent="0.25">
      <c r="B21" s="5" t="s">
        <v>193</v>
      </c>
      <c r="C21" s="7" t="s">
        <v>225</v>
      </c>
      <c r="D21" s="7" t="s">
        <v>226</v>
      </c>
      <c r="E21" s="44">
        <v>160107</v>
      </c>
      <c r="F21" s="17">
        <v>2053</v>
      </c>
      <c r="G21" s="25">
        <v>593</v>
      </c>
      <c r="H21" s="21">
        <v>28.884559181685336</v>
      </c>
      <c r="I21" s="37">
        <v>1460</v>
      </c>
      <c r="J21" s="25">
        <v>781</v>
      </c>
      <c r="K21" s="21">
        <v>53.493150684931514</v>
      </c>
      <c r="L21" s="17">
        <v>2053</v>
      </c>
      <c r="M21" s="25">
        <v>194</v>
      </c>
      <c r="N21" s="30">
        <v>9.4495859717486592</v>
      </c>
      <c r="O21" s="17">
        <v>2053</v>
      </c>
      <c r="P21" s="25">
        <v>62</v>
      </c>
      <c r="Q21" s="31">
        <v>3.0199707744763762</v>
      </c>
      <c r="R21" s="25">
        <v>1896</v>
      </c>
      <c r="S21" s="25">
        <v>161</v>
      </c>
      <c r="T21" s="21">
        <v>8.4915611814345997</v>
      </c>
      <c r="U21" s="37">
        <v>71</v>
      </c>
      <c r="V21" s="31">
        <v>3.4583536288358503</v>
      </c>
      <c r="W21" s="37">
        <v>24</v>
      </c>
      <c r="X21" s="30">
        <v>1.1690209449585971</v>
      </c>
    </row>
    <row r="22" spans="2:24" ht="15" customHeight="1" x14ac:dyDescent="0.25">
      <c r="B22" s="5" t="s">
        <v>193</v>
      </c>
      <c r="C22" s="7" t="s">
        <v>225</v>
      </c>
      <c r="D22" s="7" t="s">
        <v>227</v>
      </c>
      <c r="E22" s="44">
        <v>160110</v>
      </c>
      <c r="F22" s="17">
        <v>1183</v>
      </c>
      <c r="G22" s="25">
        <v>418</v>
      </c>
      <c r="H22" s="21">
        <v>35.333896872358409</v>
      </c>
      <c r="I22" s="37">
        <v>765</v>
      </c>
      <c r="J22" s="25">
        <v>453</v>
      </c>
      <c r="K22" s="21">
        <v>59.215686274509807</v>
      </c>
      <c r="L22" s="17">
        <v>1183</v>
      </c>
      <c r="M22" s="25">
        <v>85</v>
      </c>
      <c r="N22" s="30">
        <v>7.1851225697379544</v>
      </c>
      <c r="O22" s="17">
        <v>1183</v>
      </c>
      <c r="P22" s="25">
        <v>14</v>
      </c>
      <c r="Q22" s="31">
        <v>1.1834319526627219</v>
      </c>
      <c r="R22" s="25">
        <v>1116</v>
      </c>
      <c r="S22" s="25">
        <v>59</v>
      </c>
      <c r="T22" s="21">
        <v>5.2867383512544803</v>
      </c>
      <c r="U22" s="37">
        <v>43</v>
      </c>
      <c r="V22" s="31">
        <v>3.6348267117497892</v>
      </c>
      <c r="W22" s="37">
        <v>10</v>
      </c>
      <c r="X22" s="30">
        <v>0.84530853761623004</v>
      </c>
    </row>
    <row r="23" spans="2:24" ht="15" customHeight="1" x14ac:dyDescent="0.25">
      <c r="B23" s="5" t="s">
        <v>193</v>
      </c>
      <c r="C23" s="7" t="s">
        <v>228</v>
      </c>
      <c r="D23" s="7" t="s">
        <v>228</v>
      </c>
      <c r="E23" s="44">
        <v>160801</v>
      </c>
      <c r="F23" s="17">
        <v>481</v>
      </c>
      <c r="G23" s="25">
        <v>96</v>
      </c>
      <c r="H23" s="21">
        <v>19.95841995841996</v>
      </c>
      <c r="I23" s="37">
        <v>385</v>
      </c>
      <c r="J23" s="25">
        <v>170</v>
      </c>
      <c r="K23" s="21">
        <v>44.155844155844157</v>
      </c>
      <c r="L23" s="17">
        <v>481</v>
      </c>
      <c r="M23" s="25">
        <v>28</v>
      </c>
      <c r="N23" s="30">
        <v>5.8212058212058215</v>
      </c>
      <c r="O23" s="17">
        <v>481</v>
      </c>
      <c r="P23" s="25">
        <v>9</v>
      </c>
      <c r="Q23" s="31">
        <v>1.8711018711018712</v>
      </c>
      <c r="R23" s="25">
        <v>441</v>
      </c>
      <c r="S23" s="25">
        <v>33</v>
      </c>
      <c r="T23" s="21">
        <v>7.4829931972789119</v>
      </c>
      <c r="U23" s="37">
        <v>26</v>
      </c>
      <c r="V23" s="31">
        <v>5.4054054054054053</v>
      </c>
      <c r="W23" s="37">
        <v>5</v>
      </c>
      <c r="X23" s="30">
        <v>1.0395010395010396</v>
      </c>
    </row>
    <row r="24" spans="2:24" ht="15" customHeight="1" x14ac:dyDescent="0.25">
      <c r="B24" s="5" t="s">
        <v>193</v>
      </c>
      <c r="C24" s="7" t="s">
        <v>228</v>
      </c>
      <c r="D24" s="7" t="s">
        <v>229</v>
      </c>
      <c r="E24" s="44">
        <v>160802</v>
      </c>
      <c r="F24" s="17">
        <v>89</v>
      </c>
      <c r="G24" s="25">
        <v>19</v>
      </c>
      <c r="H24" s="21">
        <v>21.348314606741571</v>
      </c>
      <c r="I24" s="37">
        <v>70</v>
      </c>
      <c r="J24" s="25">
        <v>32</v>
      </c>
      <c r="K24" s="21">
        <v>45.714285714285715</v>
      </c>
      <c r="L24" s="17">
        <v>89</v>
      </c>
      <c r="M24" s="25">
        <v>5</v>
      </c>
      <c r="N24" s="30">
        <v>5.6179775280898872</v>
      </c>
      <c r="O24" s="17">
        <v>89</v>
      </c>
      <c r="P24" s="25">
        <v>3</v>
      </c>
      <c r="Q24" s="31">
        <v>3.3707865168539324</v>
      </c>
      <c r="R24" s="25">
        <v>83</v>
      </c>
      <c r="S24" s="25">
        <v>10</v>
      </c>
      <c r="T24" s="21">
        <v>12.048192771084338</v>
      </c>
      <c r="U24" s="37">
        <v>2</v>
      </c>
      <c r="V24" s="31">
        <v>2.2471910112359552</v>
      </c>
      <c r="W24" s="37">
        <v>1</v>
      </c>
      <c r="X24" s="30">
        <v>1.1235955056179776</v>
      </c>
    </row>
    <row r="25" spans="2:24" ht="15" customHeight="1" x14ac:dyDescent="0.25">
      <c r="B25" s="5" t="s">
        <v>193</v>
      </c>
      <c r="C25" s="7" t="s">
        <v>228</v>
      </c>
      <c r="D25" s="7" t="s">
        <v>230</v>
      </c>
      <c r="E25" s="44">
        <v>160803</v>
      </c>
      <c r="F25" s="58">
        <v>436</v>
      </c>
      <c r="G25" s="59">
        <v>132</v>
      </c>
      <c r="H25" s="60">
        <v>30.275229357798167</v>
      </c>
      <c r="I25" s="37">
        <v>304</v>
      </c>
      <c r="J25" s="59">
        <v>142</v>
      </c>
      <c r="K25" s="21">
        <v>46.710526315789473</v>
      </c>
      <c r="L25" s="58">
        <v>436</v>
      </c>
      <c r="M25" s="59">
        <v>53</v>
      </c>
      <c r="N25" s="62">
        <v>12.155963302752294</v>
      </c>
      <c r="O25" s="58">
        <v>436</v>
      </c>
      <c r="P25" s="59">
        <v>28</v>
      </c>
      <c r="Q25" s="63">
        <v>6.4220183486238538</v>
      </c>
      <c r="R25" s="25">
        <v>381</v>
      </c>
      <c r="S25" s="59">
        <v>54</v>
      </c>
      <c r="T25" s="21">
        <v>14.173228346456693</v>
      </c>
      <c r="U25" s="61">
        <v>23</v>
      </c>
      <c r="V25" s="63">
        <v>5.2752293577981657</v>
      </c>
      <c r="W25" s="61">
        <v>4</v>
      </c>
      <c r="X25" s="62">
        <v>0.91743119266055051</v>
      </c>
    </row>
    <row r="26" spans="2:24" ht="15" customHeight="1" x14ac:dyDescent="0.25">
      <c r="B26" s="5" t="s">
        <v>193</v>
      </c>
      <c r="C26" s="7" t="s">
        <v>228</v>
      </c>
      <c r="D26" s="7" t="s">
        <v>231</v>
      </c>
      <c r="E26" s="44">
        <v>160804</v>
      </c>
      <c r="F26" s="58">
        <v>263</v>
      </c>
      <c r="G26" s="59">
        <v>55</v>
      </c>
      <c r="H26" s="60">
        <v>20.912547528517113</v>
      </c>
      <c r="I26" s="37">
        <v>208</v>
      </c>
      <c r="J26" s="59">
        <v>86</v>
      </c>
      <c r="K26" s="21">
        <v>41.346153846153847</v>
      </c>
      <c r="L26" s="58">
        <v>263</v>
      </c>
      <c r="M26" s="59">
        <v>15</v>
      </c>
      <c r="N26" s="62">
        <v>5.7034220532319395</v>
      </c>
      <c r="O26" s="58">
        <v>263</v>
      </c>
      <c r="P26" s="59">
        <v>9</v>
      </c>
      <c r="Q26" s="63">
        <v>3.4220532319391634</v>
      </c>
      <c r="R26" s="25">
        <v>244</v>
      </c>
      <c r="S26" s="59">
        <v>26</v>
      </c>
      <c r="T26" s="21">
        <v>10.655737704918032</v>
      </c>
      <c r="U26" s="61">
        <v>7</v>
      </c>
      <c r="V26" s="63">
        <v>2.6615969581749046</v>
      </c>
      <c r="W26" s="61">
        <v>3</v>
      </c>
      <c r="X26" s="62">
        <v>1.1406844106463878</v>
      </c>
    </row>
    <row r="27" spans="2:24" ht="15" customHeight="1" x14ac:dyDescent="0.25">
      <c r="B27" s="5" t="s">
        <v>193</v>
      </c>
      <c r="C27" s="7" t="s">
        <v>232</v>
      </c>
      <c r="D27" s="7" t="s">
        <v>233</v>
      </c>
      <c r="E27" s="44">
        <v>160502</v>
      </c>
      <c r="F27" s="17">
        <v>45</v>
      </c>
      <c r="G27" s="25">
        <v>25</v>
      </c>
      <c r="H27" s="21">
        <v>55.555555555555557</v>
      </c>
      <c r="I27" s="37">
        <v>20</v>
      </c>
      <c r="J27" s="25">
        <v>9</v>
      </c>
      <c r="K27" s="21">
        <v>45</v>
      </c>
      <c r="L27" s="17">
        <v>45</v>
      </c>
      <c r="M27" s="25">
        <v>4</v>
      </c>
      <c r="N27" s="30">
        <v>8.8888888888888893</v>
      </c>
      <c r="O27" s="17">
        <v>45</v>
      </c>
      <c r="P27" s="25">
        <v>2</v>
      </c>
      <c r="Q27" s="31">
        <v>4.4444444444444446</v>
      </c>
      <c r="R27" s="25">
        <v>37</v>
      </c>
      <c r="S27" s="25">
        <v>3</v>
      </c>
      <c r="T27" s="21">
        <v>8.1081081081081088</v>
      </c>
      <c r="U27" s="37">
        <v>6</v>
      </c>
      <c r="V27" s="31">
        <v>13.333333333333334</v>
      </c>
      <c r="W27" s="37">
        <v>0</v>
      </c>
      <c r="X27" s="30">
        <v>0</v>
      </c>
    </row>
    <row r="28" spans="2:24" ht="15" customHeight="1" x14ac:dyDescent="0.25">
      <c r="B28" s="5" t="s">
        <v>193</v>
      </c>
      <c r="C28" s="7" t="s">
        <v>232</v>
      </c>
      <c r="D28" s="7" t="s">
        <v>234</v>
      </c>
      <c r="E28" s="44">
        <v>160511</v>
      </c>
      <c r="F28" s="17">
        <v>375</v>
      </c>
      <c r="G28" s="25">
        <v>99</v>
      </c>
      <c r="H28" s="21">
        <v>26.400000000000002</v>
      </c>
      <c r="I28" s="37">
        <v>276</v>
      </c>
      <c r="J28" s="25">
        <v>119</v>
      </c>
      <c r="K28" s="21">
        <v>43.115942028985508</v>
      </c>
      <c r="L28" s="17">
        <v>375</v>
      </c>
      <c r="M28" s="25">
        <v>19</v>
      </c>
      <c r="N28" s="30">
        <v>5.0666666666666664</v>
      </c>
      <c r="O28" s="17">
        <v>375</v>
      </c>
      <c r="P28" s="25">
        <v>15</v>
      </c>
      <c r="Q28" s="31">
        <v>4</v>
      </c>
      <c r="R28" s="25">
        <v>328</v>
      </c>
      <c r="S28" s="25">
        <v>29</v>
      </c>
      <c r="T28" s="21">
        <v>8.8414634146341466</v>
      </c>
      <c r="U28" s="37">
        <v>25</v>
      </c>
      <c r="V28" s="31">
        <v>6.666666666666667</v>
      </c>
      <c r="W28" s="37">
        <v>7</v>
      </c>
      <c r="X28" s="30">
        <v>1.8666666666666669</v>
      </c>
    </row>
    <row r="29" spans="2:24" ht="15" customHeight="1" x14ac:dyDescent="0.25">
      <c r="B29" s="5" t="s">
        <v>194</v>
      </c>
      <c r="C29" s="7" t="s">
        <v>235</v>
      </c>
      <c r="D29" s="7" t="s">
        <v>236</v>
      </c>
      <c r="E29" s="44">
        <v>170302</v>
      </c>
      <c r="F29" s="17">
        <v>511</v>
      </c>
      <c r="G29" s="25">
        <v>55</v>
      </c>
      <c r="H29" s="21">
        <v>10.763209393346379</v>
      </c>
      <c r="I29" s="37">
        <v>456</v>
      </c>
      <c r="J29" s="25">
        <v>148</v>
      </c>
      <c r="K29" s="21">
        <v>32.456140350877192</v>
      </c>
      <c r="L29" s="17">
        <v>511</v>
      </c>
      <c r="M29" s="25">
        <v>17</v>
      </c>
      <c r="N29" s="30">
        <v>3.3268101761252442</v>
      </c>
      <c r="O29" s="17">
        <v>511</v>
      </c>
      <c r="P29" s="25">
        <v>14</v>
      </c>
      <c r="Q29" s="31">
        <v>2.7397260273972601</v>
      </c>
      <c r="R29" s="25">
        <v>468</v>
      </c>
      <c r="S29" s="25">
        <v>36</v>
      </c>
      <c r="T29" s="21">
        <v>7.6923076923076925</v>
      </c>
      <c r="U29" s="37">
        <v>22</v>
      </c>
      <c r="V29" s="31">
        <v>4.3052837573385521</v>
      </c>
      <c r="W29" s="37">
        <v>7</v>
      </c>
      <c r="X29" s="30">
        <v>1.3698630136986301</v>
      </c>
    </row>
    <row r="30" spans="2:24" ht="15" customHeight="1" x14ac:dyDescent="0.25">
      <c r="B30" s="5" t="s">
        <v>194</v>
      </c>
      <c r="C30" s="7" t="s">
        <v>235</v>
      </c>
      <c r="D30" s="7" t="s">
        <v>237</v>
      </c>
      <c r="E30" s="44">
        <v>170301</v>
      </c>
      <c r="F30" s="17">
        <v>178</v>
      </c>
      <c r="G30" s="25">
        <v>19</v>
      </c>
      <c r="H30" s="21">
        <v>10.674157303370785</v>
      </c>
      <c r="I30" s="37">
        <v>159</v>
      </c>
      <c r="J30" s="25">
        <v>46</v>
      </c>
      <c r="K30" s="21">
        <v>28.930817610062892</v>
      </c>
      <c r="L30" s="17">
        <v>178</v>
      </c>
      <c r="M30" s="25">
        <v>4</v>
      </c>
      <c r="N30" s="30">
        <v>2.2471910112359552</v>
      </c>
      <c r="O30" s="17">
        <v>178</v>
      </c>
      <c r="P30" s="25">
        <v>3</v>
      </c>
      <c r="Q30" s="31">
        <v>1.6853932584269662</v>
      </c>
      <c r="R30" s="25">
        <v>160</v>
      </c>
      <c r="S30" s="25">
        <v>9</v>
      </c>
      <c r="T30" s="21">
        <v>5.625</v>
      </c>
      <c r="U30" s="37">
        <v>11</v>
      </c>
      <c r="V30" s="31">
        <v>6.179775280898876</v>
      </c>
      <c r="W30" s="37">
        <v>4</v>
      </c>
      <c r="X30" s="30">
        <v>2.2471910112359552</v>
      </c>
    </row>
    <row r="31" spans="2:24" ht="15" customHeight="1" x14ac:dyDescent="0.25">
      <c r="B31" s="5" t="s">
        <v>194</v>
      </c>
      <c r="C31" s="7" t="s">
        <v>235</v>
      </c>
      <c r="D31" s="7" t="s">
        <v>235</v>
      </c>
      <c r="E31" s="44">
        <v>170303</v>
      </c>
      <c r="F31" s="17">
        <v>471</v>
      </c>
      <c r="G31" s="25">
        <v>70</v>
      </c>
      <c r="H31" s="21">
        <v>14.861995753715499</v>
      </c>
      <c r="I31" s="37">
        <v>401</v>
      </c>
      <c r="J31" s="25">
        <v>151</v>
      </c>
      <c r="K31" s="21">
        <v>37.655860349127181</v>
      </c>
      <c r="L31" s="17">
        <v>471</v>
      </c>
      <c r="M31" s="25">
        <v>28</v>
      </c>
      <c r="N31" s="30">
        <v>5.9447983014862</v>
      </c>
      <c r="O31" s="17">
        <v>471</v>
      </c>
      <c r="P31" s="25">
        <v>20</v>
      </c>
      <c r="Q31" s="31">
        <v>4.2462845010615711</v>
      </c>
      <c r="R31" s="25">
        <v>424</v>
      </c>
      <c r="S31" s="25">
        <v>47</v>
      </c>
      <c r="T31" s="21">
        <v>11.084905660377359</v>
      </c>
      <c r="U31" s="37">
        <v>23</v>
      </c>
      <c r="V31" s="31">
        <v>4.8832271762208075</v>
      </c>
      <c r="W31" s="37">
        <v>4</v>
      </c>
      <c r="X31" s="30">
        <v>0.84925690021231426</v>
      </c>
    </row>
    <row r="32" spans="2:24" ht="15" customHeight="1" x14ac:dyDescent="0.25">
      <c r="B32" s="5" t="s">
        <v>194</v>
      </c>
      <c r="C32" s="7" t="s">
        <v>238</v>
      </c>
      <c r="D32" s="7" t="s">
        <v>239</v>
      </c>
      <c r="E32" s="44">
        <v>170103</v>
      </c>
      <c r="F32" s="17">
        <v>1607</v>
      </c>
      <c r="G32" s="25">
        <v>184</v>
      </c>
      <c r="H32" s="21">
        <v>11.449906658369633</v>
      </c>
      <c r="I32" s="37">
        <v>1423</v>
      </c>
      <c r="J32" s="25">
        <v>458</v>
      </c>
      <c r="K32" s="21">
        <v>32.185523541813069</v>
      </c>
      <c r="L32" s="17">
        <v>1607</v>
      </c>
      <c r="M32" s="25">
        <v>49</v>
      </c>
      <c r="N32" s="30">
        <v>3.0491599253266957</v>
      </c>
      <c r="O32" s="17">
        <v>1607</v>
      </c>
      <c r="P32" s="25">
        <v>35</v>
      </c>
      <c r="Q32" s="31">
        <v>2.177971375233354</v>
      </c>
      <c r="R32" s="25">
        <v>1443</v>
      </c>
      <c r="S32" s="25">
        <v>134</v>
      </c>
      <c r="T32" s="21">
        <v>9.2862092862092869</v>
      </c>
      <c r="U32" s="37">
        <v>102</v>
      </c>
      <c r="V32" s="31">
        <v>6.3472308649657752</v>
      </c>
      <c r="W32" s="37">
        <v>27</v>
      </c>
      <c r="X32" s="30">
        <v>1.6801493466085875</v>
      </c>
    </row>
    <row r="33" spans="2:24" ht="15" customHeight="1" x14ac:dyDescent="0.25">
      <c r="B33" s="5" t="s">
        <v>194</v>
      </c>
      <c r="C33" s="7" t="s">
        <v>238</v>
      </c>
      <c r="D33" s="7" t="s">
        <v>238</v>
      </c>
      <c r="E33" s="44">
        <v>170101</v>
      </c>
      <c r="F33" s="17">
        <v>6094</v>
      </c>
      <c r="G33" s="25">
        <v>498</v>
      </c>
      <c r="H33" s="21">
        <v>8.1719724319002296</v>
      </c>
      <c r="I33" s="37">
        <v>5596</v>
      </c>
      <c r="J33" s="25">
        <v>1486</v>
      </c>
      <c r="K33" s="21">
        <v>26.554681915654037</v>
      </c>
      <c r="L33" s="17">
        <v>6094</v>
      </c>
      <c r="M33" s="25">
        <v>196</v>
      </c>
      <c r="N33" s="30">
        <v>3.2162783065310139</v>
      </c>
      <c r="O33" s="17">
        <v>6094</v>
      </c>
      <c r="P33" s="25">
        <v>134</v>
      </c>
      <c r="Q33" s="31">
        <v>2.198884148342632</v>
      </c>
      <c r="R33" s="25">
        <v>5556</v>
      </c>
      <c r="S33" s="25">
        <v>528</v>
      </c>
      <c r="T33" s="21">
        <v>9.5032397408207352</v>
      </c>
      <c r="U33" s="37">
        <v>305</v>
      </c>
      <c r="V33" s="31">
        <v>5.004922874958976</v>
      </c>
      <c r="W33" s="37">
        <v>99</v>
      </c>
      <c r="X33" s="30">
        <v>1.6245487364620936</v>
      </c>
    </row>
    <row r="34" spans="2:24" ht="15" customHeight="1" x14ac:dyDescent="0.25">
      <c r="B34" s="5" t="s">
        <v>197</v>
      </c>
      <c r="C34" s="7" t="s">
        <v>240</v>
      </c>
      <c r="D34" s="7" t="s">
        <v>240</v>
      </c>
      <c r="E34" s="44">
        <v>200201</v>
      </c>
      <c r="F34" s="17">
        <v>2926</v>
      </c>
      <c r="G34" s="25">
        <v>893</v>
      </c>
      <c r="H34" s="21">
        <v>30.519480519480517</v>
      </c>
      <c r="I34" s="37">
        <v>2033</v>
      </c>
      <c r="J34" s="25">
        <v>1085</v>
      </c>
      <c r="K34" s="21">
        <v>53.369404820462371</v>
      </c>
      <c r="L34" s="17">
        <v>2926</v>
      </c>
      <c r="M34" s="25">
        <v>241</v>
      </c>
      <c r="N34" s="30">
        <v>8.2365003417635005</v>
      </c>
      <c r="O34" s="17">
        <v>2926</v>
      </c>
      <c r="P34" s="25">
        <v>75</v>
      </c>
      <c r="Q34" s="31">
        <v>2.563226247436774</v>
      </c>
      <c r="R34" s="25">
        <v>2734</v>
      </c>
      <c r="S34" s="25">
        <v>271</v>
      </c>
      <c r="T34" s="21">
        <v>9.9122165325530371</v>
      </c>
      <c r="U34" s="37">
        <v>88</v>
      </c>
      <c r="V34" s="31">
        <v>3.007518796992481</v>
      </c>
      <c r="W34" s="37">
        <v>29</v>
      </c>
      <c r="X34" s="30">
        <v>0.99111414900888584</v>
      </c>
    </row>
    <row r="35" spans="2:24" ht="15" customHeight="1" x14ac:dyDescent="0.25">
      <c r="B35" s="5" t="s">
        <v>197</v>
      </c>
      <c r="C35" s="7" t="s">
        <v>240</v>
      </c>
      <c r="D35" s="7" t="s">
        <v>241</v>
      </c>
      <c r="E35" s="44">
        <v>200203</v>
      </c>
      <c r="F35" s="17">
        <v>241</v>
      </c>
      <c r="G35" s="25">
        <v>49</v>
      </c>
      <c r="H35" s="21">
        <v>20.331950207468878</v>
      </c>
      <c r="I35" s="37">
        <v>192</v>
      </c>
      <c r="J35" s="25">
        <v>74</v>
      </c>
      <c r="K35" s="21">
        <v>38.541666666666671</v>
      </c>
      <c r="L35" s="17">
        <v>241</v>
      </c>
      <c r="M35" s="25">
        <v>16</v>
      </c>
      <c r="N35" s="30">
        <v>6.6390041493775938</v>
      </c>
      <c r="O35" s="17">
        <v>241</v>
      </c>
      <c r="P35" s="25">
        <v>8</v>
      </c>
      <c r="Q35" s="31">
        <v>3.3195020746887969</v>
      </c>
      <c r="R35" s="25">
        <v>213</v>
      </c>
      <c r="S35" s="25">
        <v>22</v>
      </c>
      <c r="T35" s="21">
        <v>10.328638497652582</v>
      </c>
      <c r="U35" s="37">
        <v>14</v>
      </c>
      <c r="V35" s="31">
        <v>5.809128630705394</v>
      </c>
      <c r="W35" s="37">
        <v>6</v>
      </c>
      <c r="X35" s="30">
        <v>2.4896265560165975</v>
      </c>
    </row>
    <row r="36" spans="2:24" ht="15" customHeight="1" x14ac:dyDescent="0.25">
      <c r="B36" s="5" t="s">
        <v>197</v>
      </c>
      <c r="C36" s="7" t="s">
        <v>240</v>
      </c>
      <c r="D36" s="7" t="s">
        <v>242</v>
      </c>
      <c r="E36" s="44">
        <v>200210</v>
      </c>
      <c r="F36" s="17">
        <v>1209</v>
      </c>
      <c r="G36" s="25">
        <v>114</v>
      </c>
      <c r="H36" s="21">
        <v>9.4292803970223318</v>
      </c>
      <c r="I36" s="37">
        <v>1095</v>
      </c>
      <c r="J36" s="25">
        <v>345</v>
      </c>
      <c r="K36" s="21">
        <v>31.506849315068493</v>
      </c>
      <c r="L36" s="17">
        <v>1209</v>
      </c>
      <c r="M36" s="25">
        <v>46</v>
      </c>
      <c r="N36" s="30">
        <v>3.8047973531844499</v>
      </c>
      <c r="O36" s="17">
        <v>1209</v>
      </c>
      <c r="P36" s="25">
        <v>23</v>
      </c>
      <c r="Q36" s="31">
        <v>1.9023986765922249</v>
      </c>
      <c r="R36" s="25">
        <v>1075</v>
      </c>
      <c r="S36" s="25">
        <v>87</v>
      </c>
      <c r="T36" s="21">
        <v>8.0930232558139537</v>
      </c>
      <c r="U36" s="37">
        <v>80</v>
      </c>
      <c r="V36" s="31">
        <v>6.6170388751033915</v>
      </c>
      <c r="W36" s="37">
        <v>31</v>
      </c>
      <c r="X36" s="30">
        <v>2.5641025641025639</v>
      </c>
    </row>
    <row r="37" spans="2:24" ht="15" customHeight="1" x14ac:dyDescent="0.25">
      <c r="B37" s="5" t="s">
        <v>197</v>
      </c>
      <c r="C37" s="7" t="s">
        <v>243</v>
      </c>
      <c r="D37" s="7" t="s">
        <v>244</v>
      </c>
      <c r="E37" s="44">
        <v>200303</v>
      </c>
      <c r="F37" s="17">
        <v>1102</v>
      </c>
      <c r="G37" s="25">
        <v>430</v>
      </c>
      <c r="H37" s="21">
        <v>39.019963702359348</v>
      </c>
      <c r="I37" s="37">
        <v>672</v>
      </c>
      <c r="J37" s="25">
        <v>397</v>
      </c>
      <c r="K37" s="21">
        <v>59.077380952380956</v>
      </c>
      <c r="L37" s="17">
        <v>1102</v>
      </c>
      <c r="M37" s="25">
        <v>96</v>
      </c>
      <c r="N37" s="30">
        <v>8.7114337568058069</v>
      </c>
      <c r="O37" s="17">
        <v>1102</v>
      </c>
      <c r="P37" s="25">
        <v>16</v>
      </c>
      <c r="Q37" s="31">
        <v>1.4519056261343013</v>
      </c>
      <c r="R37" s="25">
        <v>1023</v>
      </c>
      <c r="S37" s="25">
        <v>77</v>
      </c>
      <c r="T37" s="21">
        <v>7.5268817204301079</v>
      </c>
      <c r="U37" s="37">
        <v>48</v>
      </c>
      <c r="V37" s="31">
        <v>4.3557168784029034</v>
      </c>
      <c r="W37" s="37">
        <v>15</v>
      </c>
      <c r="X37" s="30">
        <v>1.3611615245009074</v>
      </c>
    </row>
    <row r="38" spans="2:24" ht="15" customHeight="1" x14ac:dyDescent="0.25">
      <c r="B38" s="5" t="s">
        <v>197</v>
      </c>
      <c r="C38" s="7" t="s">
        <v>245</v>
      </c>
      <c r="D38" s="7" t="s">
        <v>246</v>
      </c>
      <c r="E38" s="44">
        <v>200604</v>
      </c>
      <c r="F38" s="17">
        <v>1124</v>
      </c>
      <c r="G38" s="25">
        <v>58</v>
      </c>
      <c r="H38" s="21">
        <v>5.160142348754448</v>
      </c>
      <c r="I38" s="37">
        <v>1066</v>
      </c>
      <c r="J38" s="25">
        <v>264</v>
      </c>
      <c r="K38" s="21">
        <v>24.765478424015008</v>
      </c>
      <c r="L38" s="17">
        <v>1124</v>
      </c>
      <c r="M38" s="25">
        <v>23</v>
      </c>
      <c r="N38" s="30">
        <v>2.0462633451957295</v>
      </c>
      <c r="O38" s="17">
        <v>1124</v>
      </c>
      <c r="P38" s="25">
        <v>27</v>
      </c>
      <c r="Q38" s="31">
        <v>2.4021352313167257</v>
      </c>
      <c r="R38" s="25">
        <v>990</v>
      </c>
      <c r="S38" s="25">
        <v>87</v>
      </c>
      <c r="T38" s="21">
        <v>8.7878787878787872</v>
      </c>
      <c r="U38" s="37">
        <v>70</v>
      </c>
      <c r="V38" s="31">
        <v>6.2277580071174379</v>
      </c>
      <c r="W38" s="37">
        <v>37</v>
      </c>
      <c r="X38" s="30">
        <v>3.2918149466192168</v>
      </c>
    </row>
    <row r="39" spans="2:24" ht="15" customHeight="1" x14ac:dyDescent="0.25">
      <c r="B39" s="5" t="s">
        <v>198</v>
      </c>
      <c r="C39" s="7" t="s">
        <v>247</v>
      </c>
      <c r="D39" s="7" t="s">
        <v>248</v>
      </c>
      <c r="E39" s="44">
        <v>210402</v>
      </c>
      <c r="F39" s="17">
        <v>516</v>
      </c>
      <c r="G39" s="25">
        <v>56</v>
      </c>
      <c r="H39" s="21">
        <v>10.852713178294573</v>
      </c>
      <c r="I39" s="37">
        <v>460</v>
      </c>
      <c r="J39" s="25">
        <v>170</v>
      </c>
      <c r="K39" s="21">
        <v>36.95652173913043</v>
      </c>
      <c r="L39" s="17">
        <v>516</v>
      </c>
      <c r="M39" s="25">
        <v>11</v>
      </c>
      <c r="N39" s="30">
        <v>2.1317829457364339</v>
      </c>
      <c r="O39" s="17">
        <v>516</v>
      </c>
      <c r="P39" s="25">
        <v>2</v>
      </c>
      <c r="Q39" s="31">
        <v>0.38759689922480622</v>
      </c>
      <c r="R39" s="25">
        <v>484</v>
      </c>
      <c r="S39" s="25">
        <v>24</v>
      </c>
      <c r="T39" s="21">
        <v>4.9586776859504136</v>
      </c>
      <c r="U39" s="37">
        <v>28</v>
      </c>
      <c r="V39" s="31">
        <v>5.4263565891472867</v>
      </c>
      <c r="W39" s="37">
        <v>2</v>
      </c>
      <c r="X39" s="30">
        <v>0.38759689922480622</v>
      </c>
    </row>
    <row r="40" spans="2:24" ht="15" customHeight="1" x14ac:dyDescent="0.25">
      <c r="B40" s="5" t="s">
        <v>198</v>
      </c>
      <c r="C40" s="7" t="s">
        <v>247</v>
      </c>
      <c r="D40" s="7" t="s">
        <v>249</v>
      </c>
      <c r="E40" s="44">
        <v>210401</v>
      </c>
      <c r="F40" s="58">
        <v>986</v>
      </c>
      <c r="G40" s="59">
        <v>87</v>
      </c>
      <c r="H40" s="60">
        <v>8.8235294117647065</v>
      </c>
      <c r="I40" s="37">
        <v>899</v>
      </c>
      <c r="J40" s="59">
        <v>342</v>
      </c>
      <c r="K40" s="21">
        <v>38.042269187986648</v>
      </c>
      <c r="L40" s="58">
        <v>986</v>
      </c>
      <c r="M40" s="59">
        <v>15</v>
      </c>
      <c r="N40" s="62">
        <v>1.5212981744421907</v>
      </c>
      <c r="O40" s="58">
        <v>986</v>
      </c>
      <c r="P40" s="59">
        <v>12</v>
      </c>
      <c r="Q40" s="63">
        <v>1.2170385395537524</v>
      </c>
      <c r="R40" s="25">
        <v>905</v>
      </c>
      <c r="S40" s="59">
        <v>38</v>
      </c>
      <c r="T40" s="21">
        <v>4.1988950276243093</v>
      </c>
      <c r="U40" s="61">
        <v>63</v>
      </c>
      <c r="V40" s="63">
        <v>6.3894523326572017</v>
      </c>
      <c r="W40" s="61">
        <v>6</v>
      </c>
      <c r="X40" s="62">
        <v>0.6085192697768762</v>
      </c>
    </row>
    <row r="41" spans="2:24" ht="15" customHeight="1" x14ac:dyDescent="0.25">
      <c r="B41" s="5" t="s">
        <v>198</v>
      </c>
      <c r="C41" s="7" t="s">
        <v>247</v>
      </c>
      <c r="D41" s="7" t="s">
        <v>250</v>
      </c>
      <c r="E41" s="44">
        <v>210404</v>
      </c>
      <c r="F41" s="58">
        <v>195</v>
      </c>
      <c r="G41" s="59">
        <v>27</v>
      </c>
      <c r="H41" s="60">
        <v>13.846153846153847</v>
      </c>
      <c r="I41" s="37">
        <v>168</v>
      </c>
      <c r="J41" s="59">
        <v>75</v>
      </c>
      <c r="K41" s="21">
        <v>44.642857142857146</v>
      </c>
      <c r="L41" s="58">
        <v>195</v>
      </c>
      <c r="M41" s="59">
        <v>4</v>
      </c>
      <c r="N41" s="62">
        <v>2.0512820512820511</v>
      </c>
      <c r="O41" s="58">
        <v>195</v>
      </c>
      <c r="P41" s="59">
        <v>4</v>
      </c>
      <c r="Q41" s="63">
        <v>2.0512820512820511</v>
      </c>
      <c r="R41" s="25">
        <v>175</v>
      </c>
      <c r="S41" s="59">
        <v>7</v>
      </c>
      <c r="T41" s="21">
        <v>4</v>
      </c>
      <c r="U41" s="61">
        <v>13</v>
      </c>
      <c r="V41" s="63">
        <v>6.666666666666667</v>
      </c>
      <c r="W41" s="61">
        <v>3</v>
      </c>
      <c r="X41" s="62">
        <v>1.5384615384615385</v>
      </c>
    </row>
    <row r="42" spans="2:24" ht="15" customHeight="1" x14ac:dyDescent="0.25">
      <c r="B42" s="5" t="s">
        <v>198</v>
      </c>
      <c r="C42" s="7" t="s">
        <v>247</v>
      </c>
      <c r="D42" s="7" t="s">
        <v>251</v>
      </c>
      <c r="E42" s="44">
        <v>210405</v>
      </c>
      <c r="F42" s="58">
        <v>114</v>
      </c>
      <c r="G42" s="59">
        <v>13</v>
      </c>
      <c r="H42" s="60">
        <v>11.403508771929824</v>
      </c>
      <c r="I42" s="37">
        <v>101</v>
      </c>
      <c r="J42" s="59">
        <v>38</v>
      </c>
      <c r="K42" s="21">
        <v>37.623762376237622</v>
      </c>
      <c r="L42" s="58">
        <v>114</v>
      </c>
      <c r="M42" s="59">
        <v>3</v>
      </c>
      <c r="N42" s="62">
        <v>2.6315789473684208</v>
      </c>
      <c r="O42" s="58">
        <v>114</v>
      </c>
      <c r="P42" s="59">
        <v>2</v>
      </c>
      <c r="Q42" s="63">
        <v>1.7543859649122806</v>
      </c>
      <c r="R42" s="25">
        <v>104</v>
      </c>
      <c r="S42" s="59">
        <v>7</v>
      </c>
      <c r="T42" s="21">
        <v>6.7307692307692308</v>
      </c>
      <c r="U42" s="61">
        <v>7</v>
      </c>
      <c r="V42" s="63">
        <v>6.140350877192982</v>
      </c>
      <c r="W42" s="61">
        <v>1</v>
      </c>
      <c r="X42" s="62">
        <v>0.8771929824561403</v>
      </c>
    </row>
    <row r="43" spans="2:24" ht="15" customHeight="1" x14ac:dyDescent="0.25">
      <c r="B43" s="5" t="s">
        <v>198</v>
      </c>
      <c r="C43" s="7" t="s">
        <v>247</v>
      </c>
      <c r="D43" s="7" t="s">
        <v>252</v>
      </c>
      <c r="E43" s="44">
        <v>210406</v>
      </c>
      <c r="F43" s="17">
        <v>468</v>
      </c>
      <c r="G43" s="25">
        <v>45</v>
      </c>
      <c r="H43" s="21">
        <v>9.6153846153846168</v>
      </c>
      <c r="I43" s="37">
        <v>423</v>
      </c>
      <c r="J43" s="25">
        <v>151</v>
      </c>
      <c r="K43" s="21">
        <v>35.697399527186761</v>
      </c>
      <c r="L43" s="17">
        <v>468</v>
      </c>
      <c r="M43" s="25">
        <v>8</v>
      </c>
      <c r="N43" s="30">
        <v>1.7094017094017095</v>
      </c>
      <c r="O43" s="17">
        <v>468</v>
      </c>
      <c r="P43" s="25">
        <v>3</v>
      </c>
      <c r="Q43" s="31">
        <v>0.64102564102564097</v>
      </c>
      <c r="R43" s="25">
        <v>416</v>
      </c>
      <c r="S43" s="25">
        <v>11</v>
      </c>
      <c r="T43" s="21">
        <v>2.6442307692307692</v>
      </c>
      <c r="U43" s="37">
        <v>45</v>
      </c>
      <c r="V43" s="31">
        <v>9.6153846153846168</v>
      </c>
      <c r="W43" s="37">
        <v>4</v>
      </c>
      <c r="X43" s="30">
        <v>0.85470085470085477</v>
      </c>
    </row>
    <row r="44" spans="2:24" ht="15" customHeight="1" x14ac:dyDescent="0.25">
      <c r="B44" s="5" t="s">
        <v>198</v>
      </c>
      <c r="C44" s="7" t="s">
        <v>247</v>
      </c>
      <c r="D44" s="7" t="s">
        <v>253</v>
      </c>
      <c r="E44" s="44">
        <v>210407</v>
      </c>
      <c r="F44" s="17">
        <v>785</v>
      </c>
      <c r="G44" s="25">
        <v>81</v>
      </c>
      <c r="H44" s="21">
        <v>10.318471337579618</v>
      </c>
      <c r="I44" s="37">
        <v>704</v>
      </c>
      <c r="J44" s="25">
        <v>270</v>
      </c>
      <c r="K44" s="21">
        <v>38.352272727272727</v>
      </c>
      <c r="L44" s="17">
        <v>785</v>
      </c>
      <c r="M44" s="25">
        <v>12</v>
      </c>
      <c r="N44" s="30">
        <v>1.5286624203821657</v>
      </c>
      <c r="O44" s="17">
        <v>785</v>
      </c>
      <c r="P44" s="25">
        <v>7</v>
      </c>
      <c r="Q44" s="31">
        <v>0.89171974522292996</v>
      </c>
      <c r="R44" s="25">
        <v>717</v>
      </c>
      <c r="S44" s="25">
        <v>26</v>
      </c>
      <c r="T44" s="21">
        <v>3.626220362622036</v>
      </c>
      <c r="U44" s="37">
        <v>55</v>
      </c>
      <c r="V44" s="31">
        <v>7.0063694267515926</v>
      </c>
      <c r="W44" s="37">
        <v>6</v>
      </c>
      <c r="X44" s="30">
        <v>0.76433121019108285</v>
      </c>
    </row>
    <row r="45" spans="2:24" ht="15" customHeight="1" x14ac:dyDescent="0.25">
      <c r="B45" s="5" t="s">
        <v>198</v>
      </c>
      <c r="C45" s="7" t="s">
        <v>254</v>
      </c>
      <c r="D45" s="7" t="s">
        <v>255</v>
      </c>
      <c r="E45" s="44">
        <v>210502</v>
      </c>
      <c r="F45" s="58">
        <v>40</v>
      </c>
      <c r="G45" s="59">
        <v>5</v>
      </c>
      <c r="H45" s="60">
        <v>12.5</v>
      </c>
      <c r="I45" s="37">
        <v>35</v>
      </c>
      <c r="J45" s="59">
        <v>14</v>
      </c>
      <c r="K45" s="21">
        <v>40</v>
      </c>
      <c r="L45" s="58">
        <v>40</v>
      </c>
      <c r="M45" s="59">
        <v>1</v>
      </c>
      <c r="N45" s="62">
        <v>2.5</v>
      </c>
      <c r="O45" s="58">
        <v>40</v>
      </c>
      <c r="P45" s="59">
        <v>0</v>
      </c>
      <c r="Q45" s="63">
        <v>0</v>
      </c>
      <c r="R45" s="25">
        <v>36</v>
      </c>
      <c r="S45" s="59">
        <v>1</v>
      </c>
      <c r="T45" s="21">
        <v>2.7777777777777777</v>
      </c>
      <c r="U45" s="61">
        <v>3</v>
      </c>
      <c r="V45" s="63">
        <v>7.5</v>
      </c>
      <c r="W45" s="61">
        <v>1</v>
      </c>
      <c r="X45" s="62">
        <v>2.5</v>
      </c>
    </row>
    <row r="46" spans="2:24" ht="15" customHeight="1" x14ac:dyDescent="0.25">
      <c r="B46" s="5" t="s">
        <v>198</v>
      </c>
      <c r="C46" s="7" t="s">
        <v>254</v>
      </c>
      <c r="D46" s="7" t="s">
        <v>256</v>
      </c>
      <c r="E46" s="44">
        <v>210501</v>
      </c>
      <c r="F46" s="17">
        <v>2310</v>
      </c>
      <c r="G46" s="25">
        <v>133</v>
      </c>
      <c r="H46" s="21">
        <v>5.7575757575757578</v>
      </c>
      <c r="I46" s="37">
        <v>2177</v>
      </c>
      <c r="J46" s="25">
        <v>703</v>
      </c>
      <c r="K46" s="21">
        <v>32.292145153881492</v>
      </c>
      <c r="L46" s="17">
        <v>2310</v>
      </c>
      <c r="M46" s="25">
        <v>22</v>
      </c>
      <c r="N46" s="30">
        <v>0.95238095238095244</v>
      </c>
      <c r="O46" s="17">
        <v>2310</v>
      </c>
      <c r="P46" s="25">
        <v>11</v>
      </c>
      <c r="Q46" s="31">
        <v>0.47619047619047622</v>
      </c>
      <c r="R46" s="25">
        <v>2120</v>
      </c>
      <c r="S46" s="25">
        <v>44</v>
      </c>
      <c r="T46" s="21">
        <v>2.0754716981132075</v>
      </c>
      <c r="U46" s="37">
        <v>157</v>
      </c>
      <c r="V46" s="31">
        <v>6.7965367965367962</v>
      </c>
      <c r="W46" s="37">
        <v>22</v>
      </c>
      <c r="X46" s="30">
        <v>0.95238095238095244</v>
      </c>
    </row>
    <row r="47" spans="2:24" ht="15" customHeight="1" x14ac:dyDescent="0.25">
      <c r="B47" s="5" t="s">
        <v>198</v>
      </c>
      <c r="C47" s="7" t="s">
        <v>254</v>
      </c>
      <c r="D47" s="7" t="s">
        <v>257</v>
      </c>
      <c r="E47" s="44">
        <v>210503</v>
      </c>
      <c r="F47" s="17">
        <v>305</v>
      </c>
      <c r="G47" s="25">
        <v>18</v>
      </c>
      <c r="H47" s="21">
        <v>5.9016393442622954</v>
      </c>
      <c r="I47" s="37">
        <v>287</v>
      </c>
      <c r="J47" s="25">
        <v>97</v>
      </c>
      <c r="K47" s="21">
        <v>33.797909407665507</v>
      </c>
      <c r="L47" s="17">
        <v>305</v>
      </c>
      <c r="M47" s="25">
        <v>1</v>
      </c>
      <c r="N47" s="30">
        <v>0.32786885245901637</v>
      </c>
      <c r="O47" s="17">
        <v>305</v>
      </c>
      <c r="P47" s="25">
        <v>1</v>
      </c>
      <c r="Q47" s="31">
        <v>0.32786885245901637</v>
      </c>
      <c r="R47" s="25">
        <v>279</v>
      </c>
      <c r="S47" s="25">
        <v>10</v>
      </c>
      <c r="T47" s="21">
        <v>3.5842293906810032</v>
      </c>
      <c r="U47" s="37">
        <v>23</v>
      </c>
      <c r="V47" s="31">
        <v>7.5409836065573774</v>
      </c>
      <c r="W47" s="37">
        <v>2</v>
      </c>
      <c r="X47" s="30">
        <v>0.65573770491803274</v>
      </c>
    </row>
    <row r="48" spans="2:24" ht="15" customHeight="1" x14ac:dyDescent="0.25">
      <c r="B48" s="5" t="s">
        <v>198</v>
      </c>
      <c r="C48" s="7" t="s">
        <v>258</v>
      </c>
      <c r="D48" s="7" t="s">
        <v>259</v>
      </c>
      <c r="E48" s="44">
        <v>210602</v>
      </c>
      <c r="F48" s="17">
        <v>193</v>
      </c>
      <c r="G48" s="25">
        <v>40</v>
      </c>
      <c r="H48" s="21">
        <v>20.725388601036268</v>
      </c>
      <c r="I48" s="37">
        <v>153</v>
      </c>
      <c r="J48" s="25">
        <v>88</v>
      </c>
      <c r="K48" s="21">
        <v>57.51633986928104</v>
      </c>
      <c r="L48" s="17">
        <v>193</v>
      </c>
      <c r="M48" s="25">
        <v>6</v>
      </c>
      <c r="N48" s="30">
        <v>3.1088082901554404</v>
      </c>
      <c r="O48" s="17">
        <v>193</v>
      </c>
      <c r="P48" s="25">
        <v>0</v>
      </c>
      <c r="Q48" s="31">
        <v>0</v>
      </c>
      <c r="R48" s="25">
        <v>172</v>
      </c>
      <c r="S48" s="25">
        <v>7</v>
      </c>
      <c r="T48" s="21">
        <v>4.0697674418604652</v>
      </c>
      <c r="U48" s="37">
        <v>19</v>
      </c>
      <c r="V48" s="31">
        <v>9.8445595854922274</v>
      </c>
      <c r="W48" s="37">
        <v>2</v>
      </c>
      <c r="X48" s="30">
        <v>1.0362694300518136</v>
      </c>
    </row>
    <row r="49" spans="2:24" ht="15" customHeight="1" x14ac:dyDescent="0.25">
      <c r="B49" s="5" t="s">
        <v>198</v>
      </c>
      <c r="C49" s="7" t="s">
        <v>258</v>
      </c>
      <c r="D49" s="7" t="s">
        <v>258</v>
      </c>
      <c r="E49" s="44">
        <v>210601</v>
      </c>
      <c r="F49" s="17">
        <v>1084</v>
      </c>
      <c r="G49" s="25">
        <v>127</v>
      </c>
      <c r="H49" s="21">
        <v>11.715867158671585</v>
      </c>
      <c r="I49" s="37">
        <v>957</v>
      </c>
      <c r="J49" s="25">
        <v>350</v>
      </c>
      <c r="K49" s="21">
        <v>36.572622779519328</v>
      </c>
      <c r="L49" s="17">
        <v>1084</v>
      </c>
      <c r="M49" s="25">
        <v>26</v>
      </c>
      <c r="N49" s="30">
        <v>2.3985239852398523</v>
      </c>
      <c r="O49" s="17">
        <v>1084</v>
      </c>
      <c r="P49" s="25">
        <v>13</v>
      </c>
      <c r="Q49" s="31">
        <v>1.1992619926199262</v>
      </c>
      <c r="R49" s="25">
        <v>974</v>
      </c>
      <c r="S49" s="25">
        <v>39</v>
      </c>
      <c r="T49" s="21">
        <v>4.0041067761806977</v>
      </c>
      <c r="U49" s="37">
        <v>79</v>
      </c>
      <c r="V49" s="31">
        <v>7.2878228782287824</v>
      </c>
      <c r="W49" s="37">
        <v>18</v>
      </c>
      <c r="X49" s="30">
        <v>1.6605166051660518</v>
      </c>
    </row>
    <row r="50" spans="2:24" ht="15" customHeight="1" x14ac:dyDescent="0.25">
      <c r="B50" s="5" t="s">
        <v>198</v>
      </c>
      <c r="C50" s="7" t="s">
        <v>258</v>
      </c>
      <c r="D50" s="7" t="s">
        <v>260</v>
      </c>
      <c r="E50" s="44">
        <v>210605</v>
      </c>
      <c r="F50" s="17">
        <v>257</v>
      </c>
      <c r="G50" s="25">
        <v>21</v>
      </c>
      <c r="H50" s="21">
        <v>8.1712062256809332</v>
      </c>
      <c r="I50" s="37">
        <v>236</v>
      </c>
      <c r="J50" s="25">
        <v>93</v>
      </c>
      <c r="K50" s="21">
        <v>39.406779661016948</v>
      </c>
      <c r="L50" s="17">
        <v>257</v>
      </c>
      <c r="M50" s="25">
        <v>2</v>
      </c>
      <c r="N50" s="30">
        <v>0.77821011673151752</v>
      </c>
      <c r="O50" s="17">
        <v>257</v>
      </c>
      <c r="P50" s="25">
        <v>0</v>
      </c>
      <c r="Q50" s="31">
        <v>0</v>
      </c>
      <c r="R50" s="25">
        <v>234</v>
      </c>
      <c r="S50" s="25">
        <v>5</v>
      </c>
      <c r="T50" s="21">
        <v>2.1367521367521367</v>
      </c>
      <c r="U50" s="37">
        <v>18</v>
      </c>
      <c r="V50" s="31">
        <v>7.0038910505836576</v>
      </c>
      <c r="W50" s="37">
        <v>5</v>
      </c>
      <c r="X50" s="30">
        <v>1.9455252918287937</v>
      </c>
    </row>
    <row r="51" spans="2:24" ht="15" customHeight="1" x14ac:dyDescent="0.25">
      <c r="B51" s="5" t="s">
        <v>198</v>
      </c>
      <c r="C51" s="7" t="s">
        <v>258</v>
      </c>
      <c r="D51" s="7" t="s">
        <v>261</v>
      </c>
      <c r="E51" s="44">
        <v>210607</v>
      </c>
      <c r="F51" s="17">
        <v>690</v>
      </c>
      <c r="G51" s="25">
        <v>34</v>
      </c>
      <c r="H51" s="21">
        <v>4.9275362318840585</v>
      </c>
      <c r="I51" s="37">
        <v>656</v>
      </c>
      <c r="J51" s="25">
        <v>148</v>
      </c>
      <c r="K51" s="21">
        <v>22.560975609756099</v>
      </c>
      <c r="L51" s="17">
        <v>690</v>
      </c>
      <c r="M51" s="25">
        <v>6</v>
      </c>
      <c r="N51" s="30">
        <v>0.86956521739130432</v>
      </c>
      <c r="O51" s="17">
        <v>690</v>
      </c>
      <c r="P51" s="25">
        <v>6</v>
      </c>
      <c r="Q51" s="31">
        <v>0.86956521739130432</v>
      </c>
      <c r="R51" s="25">
        <v>646</v>
      </c>
      <c r="S51" s="25">
        <v>15</v>
      </c>
      <c r="T51" s="21">
        <v>2.321981424148607</v>
      </c>
      <c r="U51" s="37">
        <v>24</v>
      </c>
      <c r="V51" s="31">
        <v>3.4782608695652173</v>
      </c>
      <c r="W51" s="37">
        <v>14</v>
      </c>
      <c r="X51" s="30">
        <v>2.0289855072463765</v>
      </c>
    </row>
    <row r="52" spans="2:24" ht="15" customHeight="1" x14ac:dyDescent="0.25">
      <c r="B52" s="5" t="s">
        <v>198</v>
      </c>
      <c r="C52" s="7" t="s">
        <v>258</v>
      </c>
      <c r="D52" s="7" t="s">
        <v>262</v>
      </c>
      <c r="E52" s="44">
        <v>210608</v>
      </c>
      <c r="F52" s="17">
        <v>266</v>
      </c>
      <c r="G52" s="25">
        <v>45</v>
      </c>
      <c r="H52" s="21">
        <v>16.917293233082706</v>
      </c>
      <c r="I52" s="37">
        <v>221</v>
      </c>
      <c r="J52" s="25">
        <v>89</v>
      </c>
      <c r="K52" s="21">
        <v>40.271493212669682</v>
      </c>
      <c r="L52" s="17">
        <v>266</v>
      </c>
      <c r="M52" s="25">
        <v>2</v>
      </c>
      <c r="N52" s="30">
        <v>0.75187969924812026</v>
      </c>
      <c r="O52" s="17">
        <v>266</v>
      </c>
      <c r="P52" s="25">
        <v>2</v>
      </c>
      <c r="Q52" s="31">
        <v>0.75187969924812026</v>
      </c>
      <c r="R52" s="25">
        <v>237</v>
      </c>
      <c r="S52" s="25">
        <v>10</v>
      </c>
      <c r="T52" s="21">
        <v>4.2194092827004219</v>
      </c>
      <c r="U52" s="37">
        <v>22</v>
      </c>
      <c r="V52" s="31">
        <v>8.2706766917293226</v>
      </c>
      <c r="W52" s="37">
        <v>5</v>
      </c>
      <c r="X52" s="30">
        <v>1.8796992481203008</v>
      </c>
    </row>
    <row r="53" spans="2:24" ht="15" customHeight="1" x14ac:dyDescent="0.25">
      <c r="B53" s="5" t="s">
        <v>198</v>
      </c>
      <c r="C53" s="7" t="s">
        <v>263</v>
      </c>
      <c r="D53" s="7" t="s">
        <v>264</v>
      </c>
      <c r="E53" s="44">
        <v>210902</v>
      </c>
      <c r="F53" s="17">
        <v>119</v>
      </c>
      <c r="G53" s="25">
        <v>16</v>
      </c>
      <c r="H53" s="21">
        <v>13.445378151260504</v>
      </c>
      <c r="I53" s="37">
        <v>103</v>
      </c>
      <c r="J53" s="25">
        <v>43</v>
      </c>
      <c r="K53" s="21">
        <v>41.747572815533978</v>
      </c>
      <c r="L53" s="17">
        <v>119</v>
      </c>
      <c r="M53" s="25">
        <v>0</v>
      </c>
      <c r="N53" s="30">
        <v>0</v>
      </c>
      <c r="O53" s="17">
        <v>119</v>
      </c>
      <c r="P53" s="25">
        <v>0</v>
      </c>
      <c r="Q53" s="31">
        <v>0</v>
      </c>
      <c r="R53" s="25">
        <v>114</v>
      </c>
      <c r="S53" s="25">
        <v>2</v>
      </c>
      <c r="T53" s="21">
        <v>1.7543859649122806</v>
      </c>
      <c r="U53" s="37">
        <v>3</v>
      </c>
      <c r="V53" s="31">
        <v>2.5210084033613445</v>
      </c>
      <c r="W53" s="37">
        <v>2</v>
      </c>
      <c r="X53" s="30">
        <v>1.680672268907563</v>
      </c>
    </row>
    <row r="54" spans="2:24" ht="15" customHeight="1" x14ac:dyDescent="0.25">
      <c r="B54" s="5" t="s">
        <v>198</v>
      </c>
      <c r="C54" s="7" t="s">
        <v>263</v>
      </c>
      <c r="D54" s="7" t="s">
        <v>265</v>
      </c>
      <c r="E54" s="44">
        <v>210903</v>
      </c>
      <c r="F54" s="17">
        <v>142</v>
      </c>
      <c r="G54" s="25">
        <v>37</v>
      </c>
      <c r="H54" s="21">
        <v>26.056338028169012</v>
      </c>
      <c r="I54" s="37">
        <v>105</v>
      </c>
      <c r="J54" s="25">
        <v>57</v>
      </c>
      <c r="K54" s="21">
        <v>54.285714285714285</v>
      </c>
      <c r="L54" s="17">
        <v>142</v>
      </c>
      <c r="M54" s="25">
        <v>8</v>
      </c>
      <c r="N54" s="30">
        <v>5.6338028169014089</v>
      </c>
      <c r="O54" s="17">
        <v>142</v>
      </c>
      <c r="P54" s="25">
        <v>3</v>
      </c>
      <c r="Q54" s="31">
        <v>2.112676056338028</v>
      </c>
      <c r="R54" s="25">
        <v>125</v>
      </c>
      <c r="S54" s="25">
        <v>4</v>
      </c>
      <c r="T54" s="21">
        <v>3.2</v>
      </c>
      <c r="U54" s="37">
        <v>13</v>
      </c>
      <c r="V54" s="31">
        <v>9.1549295774647899</v>
      </c>
      <c r="W54" s="37">
        <v>1</v>
      </c>
      <c r="X54" s="30">
        <v>0.70422535211267612</v>
      </c>
    </row>
    <row r="55" spans="2:24" ht="15" customHeight="1" x14ac:dyDescent="0.25">
      <c r="B55" s="5" t="s">
        <v>198</v>
      </c>
      <c r="C55" s="7" t="s">
        <v>263</v>
      </c>
      <c r="D55" s="7" t="s">
        <v>263</v>
      </c>
      <c r="E55" s="44">
        <v>210901</v>
      </c>
      <c r="F55" s="17">
        <v>594</v>
      </c>
      <c r="G55" s="25">
        <v>104</v>
      </c>
      <c r="H55" s="21">
        <v>17.508417508417509</v>
      </c>
      <c r="I55" s="37">
        <v>490</v>
      </c>
      <c r="J55" s="25">
        <v>206</v>
      </c>
      <c r="K55" s="21">
        <v>42.04081632653061</v>
      </c>
      <c r="L55" s="17">
        <v>594</v>
      </c>
      <c r="M55" s="25">
        <v>8</v>
      </c>
      <c r="N55" s="30">
        <v>1.3468013468013467</v>
      </c>
      <c r="O55" s="17">
        <v>594</v>
      </c>
      <c r="P55" s="25">
        <v>7</v>
      </c>
      <c r="Q55" s="31">
        <v>1.1784511784511784</v>
      </c>
      <c r="R55" s="25">
        <v>523</v>
      </c>
      <c r="S55" s="25">
        <v>25</v>
      </c>
      <c r="T55" s="21">
        <v>4.7801147227533463</v>
      </c>
      <c r="U55" s="37">
        <v>45</v>
      </c>
      <c r="V55" s="31">
        <v>7.5757575757575761</v>
      </c>
      <c r="W55" s="37">
        <v>19</v>
      </c>
      <c r="X55" s="30">
        <v>3.1986531986531985</v>
      </c>
    </row>
    <row r="56" spans="2:24" ht="15" customHeight="1" x14ac:dyDescent="0.25">
      <c r="B56" s="5" t="s">
        <v>198</v>
      </c>
      <c r="C56" s="7" t="s">
        <v>263</v>
      </c>
      <c r="D56" s="7" t="s">
        <v>266</v>
      </c>
      <c r="E56" s="44">
        <v>210904</v>
      </c>
      <c r="F56" s="17">
        <v>124</v>
      </c>
      <c r="G56" s="25">
        <v>15</v>
      </c>
      <c r="H56" s="21">
        <v>12.096774193548388</v>
      </c>
      <c r="I56" s="37">
        <v>109</v>
      </c>
      <c r="J56" s="25">
        <v>42</v>
      </c>
      <c r="K56" s="21">
        <v>38.532110091743121</v>
      </c>
      <c r="L56" s="17">
        <v>124</v>
      </c>
      <c r="M56" s="25">
        <v>2</v>
      </c>
      <c r="N56" s="30">
        <v>1.6129032258064515</v>
      </c>
      <c r="O56" s="17">
        <v>124</v>
      </c>
      <c r="P56" s="25">
        <v>1</v>
      </c>
      <c r="Q56" s="31">
        <v>0.80645161290322576</v>
      </c>
      <c r="R56" s="25">
        <v>113</v>
      </c>
      <c r="S56" s="25">
        <v>4</v>
      </c>
      <c r="T56" s="21">
        <v>3.5398230088495577</v>
      </c>
      <c r="U56" s="37">
        <v>8</v>
      </c>
      <c r="V56" s="31">
        <v>6.4516129032258061</v>
      </c>
      <c r="W56" s="37">
        <v>2</v>
      </c>
      <c r="X56" s="30">
        <v>1.6129032258064515</v>
      </c>
    </row>
    <row r="57" spans="2:24" ht="15" customHeight="1" x14ac:dyDescent="0.25">
      <c r="B57" s="5" t="s">
        <v>198</v>
      </c>
      <c r="C57" s="7" t="s">
        <v>198</v>
      </c>
      <c r="D57" s="7" t="s">
        <v>267</v>
      </c>
      <c r="E57" s="44">
        <v>210102</v>
      </c>
      <c r="F57" s="17">
        <v>1014</v>
      </c>
      <c r="G57" s="25">
        <v>94</v>
      </c>
      <c r="H57" s="21">
        <v>9.2702169625246551</v>
      </c>
      <c r="I57" s="37">
        <v>920</v>
      </c>
      <c r="J57" s="25">
        <v>357</v>
      </c>
      <c r="K57" s="21">
        <v>38.804347826086953</v>
      </c>
      <c r="L57" s="17">
        <v>1014</v>
      </c>
      <c r="M57" s="25">
        <v>15</v>
      </c>
      <c r="N57" s="30">
        <v>1.4792899408284024</v>
      </c>
      <c r="O57" s="17">
        <v>1014</v>
      </c>
      <c r="P57" s="25">
        <v>7</v>
      </c>
      <c r="Q57" s="31">
        <v>0.69033530571992108</v>
      </c>
      <c r="R57" s="25">
        <v>926</v>
      </c>
      <c r="S57" s="25">
        <v>36</v>
      </c>
      <c r="T57" s="21">
        <v>3.8876889848812093</v>
      </c>
      <c r="U57" s="37">
        <v>71</v>
      </c>
      <c r="V57" s="31">
        <v>7.001972386587771</v>
      </c>
      <c r="W57" s="37">
        <v>10</v>
      </c>
      <c r="X57" s="30">
        <v>0.98619329388560162</v>
      </c>
    </row>
    <row r="58" spans="2:24" ht="15" customHeight="1" x14ac:dyDescent="0.25">
      <c r="B58" s="5" t="s">
        <v>198</v>
      </c>
      <c r="C58" s="7" t="s">
        <v>198</v>
      </c>
      <c r="D58" s="7" t="s">
        <v>268</v>
      </c>
      <c r="E58" s="44">
        <v>210103</v>
      </c>
      <c r="F58" s="17">
        <v>202</v>
      </c>
      <c r="G58" s="25">
        <v>33</v>
      </c>
      <c r="H58" s="21">
        <v>16.336633663366339</v>
      </c>
      <c r="I58" s="37">
        <v>169</v>
      </c>
      <c r="J58" s="25">
        <v>76</v>
      </c>
      <c r="K58" s="21">
        <v>44.970414201183431</v>
      </c>
      <c r="L58" s="17">
        <v>202</v>
      </c>
      <c r="M58" s="25">
        <v>4</v>
      </c>
      <c r="N58" s="30">
        <v>1.9801980198019802</v>
      </c>
      <c r="O58" s="17">
        <v>202</v>
      </c>
      <c r="P58" s="25">
        <v>1</v>
      </c>
      <c r="Q58" s="31">
        <v>0.49504950495049505</v>
      </c>
      <c r="R58" s="25">
        <v>185</v>
      </c>
      <c r="S58" s="25">
        <v>5</v>
      </c>
      <c r="T58" s="21">
        <v>2.7027027027027026</v>
      </c>
      <c r="U58" s="37">
        <v>15</v>
      </c>
      <c r="V58" s="31">
        <v>7.4257425742574252</v>
      </c>
      <c r="W58" s="37">
        <v>1</v>
      </c>
      <c r="X58" s="30">
        <v>0.49504950495049505</v>
      </c>
    </row>
    <row r="59" spans="2:24" ht="15" customHeight="1" x14ac:dyDescent="0.25">
      <c r="B59" s="5" t="s">
        <v>198</v>
      </c>
      <c r="C59" s="7" t="s">
        <v>198</v>
      </c>
      <c r="D59" s="7" t="s">
        <v>269</v>
      </c>
      <c r="E59" s="44">
        <v>210105</v>
      </c>
      <c r="F59" s="17">
        <v>394</v>
      </c>
      <c r="G59" s="25">
        <v>38</v>
      </c>
      <c r="H59" s="21">
        <v>9.6446700507614214</v>
      </c>
      <c r="I59" s="37">
        <v>356</v>
      </c>
      <c r="J59" s="25">
        <v>125</v>
      </c>
      <c r="K59" s="21">
        <v>35.112359550561798</v>
      </c>
      <c r="L59" s="17">
        <v>394</v>
      </c>
      <c r="M59" s="25">
        <v>5</v>
      </c>
      <c r="N59" s="30">
        <v>1.2690355329949239</v>
      </c>
      <c r="O59" s="17">
        <v>394</v>
      </c>
      <c r="P59" s="25">
        <v>0</v>
      </c>
      <c r="Q59" s="31">
        <v>0</v>
      </c>
      <c r="R59" s="25">
        <v>368</v>
      </c>
      <c r="S59" s="25">
        <v>12</v>
      </c>
      <c r="T59" s="21">
        <v>3.2608695652173911</v>
      </c>
      <c r="U59" s="37">
        <v>19</v>
      </c>
      <c r="V59" s="31">
        <v>4.8223350253807107</v>
      </c>
      <c r="W59" s="37">
        <v>7</v>
      </c>
      <c r="X59" s="30">
        <v>1.7766497461928936</v>
      </c>
    </row>
    <row r="60" spans="2:24" ht="15" customHeight="1" x14ac:dyDescent="0.25">
      <c r="B60" s="5" t="s">
        <v>198</v>
      </c>
      <c r="C60" s="7" t="s">
        <v>198</v>
      </c>
      <c r="D60" s="7" t="s">
        <v>247</v>
      </c>
      <c r="E60" s="44">
        <v>210106</v>
      </c>
      <c r="F60" s="17">
        <v>297</v>
      </c>
      <c r="G60" s="25">
        <v>24</v>
      </c>
      <c r="H60" s="21">
        <v>8.0808080808080813</v>
      </c>
      <c r="I60" s="37">
        <v>273</v>
      </c>
      <c r="J60" s="25">
        <v>107</v>
      </c>
      <c r="K60" s="21">
        <v>39.194139194139197</v>
      </c>
      <c r="L60" s="17">
        <v>297</v>
      </c>
      <c r="M60" s="25">
        <v>3</v>
      </c>
      <c r="N60" s="30">
        <v>1.0101010101010102</v>
      </c>
      <c r="O60" s="17">
        <v>297</v>
      </c>
      <c r="P60" s="25">
        <v>0</v>
      </c>
      <c r="Q60" s="31">
        <v>0</v>
      </c>
      <c r="R60" s="25">
        <v>269</v>
      </c>
      <c r="S60" s="25">
        <v>5</v>
      </c>
      <c r="T60" s="21">
        <v>1.8587360594795539</v>
      </c>
      <c r="U60" s="37">
        <v>26</v>
      </c>
      <c r="V60" s="31">
        <v>8.7542087542087543</v>
      </c>
      <c r="W60" s="37">
        <v>2</v>
      </c>
      <c r="X60" s="30">
        <v>0.67340067340067333</v>
      </c>
    </row>
    <row r="61" spans="2:24" ht="15" customHeight="1" x14ac:dyDescent="0.25">
      <c r="B61" s="5" t="s">
        <v>198</v>
      </c>
      <c r="C61" s="7" t="s">
        <v>198</v>
      </c>
      <c r="D61" s="7" t="s">
        <v>270</v>
      </c>
      <c r="E61" s="44">
        <v>210107</v>
      </c>
      <c r="F61" s="17">
        <v>465</v>
      </c>
      <c r="G61" s="25">
        <v>61</v>
      </c>
      <c r="H61" s="21">
        <v>13.118279569892474</v>
      </c>
      <c r="I61" s="37">
        <v>404</v>
      </c>
      <c r="J61" s="25">
        <v>182</v>
      </c>
      <c r="K61" s="21">
        <v>45.049504950495049</v>
      </c>
      <c r="L61" s="17">
        <v>465</v>
      </c>
      <c r="M61" s="25">
        <v>9</v>
      </c>
      <c r="N61" s="30">
        <v>1.935483870967742</v>
      </c>
      <c r="O61" s="17">
        <v>465</v>
      </c>
      <c r="P61" s="25">
        <v>2</v>
      </c>
      <c r="Q61" s="31">
        <v>0.43010752688172044</v>
      </c>
      <c r="R61" s="25">
        <v>412</v>
      </c>
      <c r="S61" s="25">
        <v>12</v>
      </c>
      <c r="T61" s="21">
        <v>2.912621359223301</v>
      </c>
      <c r="U61" s="37">
        <v>43</v>
      </c>
      <c r="V61" s="31">
        <v>9.2473118279569881</v>
      </c>
      <c r="W61" s="37">
        <v>8</v>
      </c>
      <c r="X61" s="30">
        <v>1.7204301075268817</v>
      </c>
    </row>
    <row r="62" spans="2:24" ht="15" customHeight="1" x14ac:dyDescent="0.25">
      <c r="B62" s="5" t="s">
        <v>198</v>
      </c>
      <c r="C62" s="7" t="s">
        <v>198</v>
      </c>
      <c r="D62" s="7" t="s">
        <v>271</v>
      </c>
      <c r="E62" s="44">
        <v>210108</v>
      </c>
      <c r="F62" s="17">
        <v>185</v>
      </c>
      <c r="G62" s="25">
        <v>15</v>
      </c>
      <c r="H62" s="21">
        <v>8.1081081081081088</v>
      </c>
      <c r="I62" s="37">
        <v>170</v>
      </c>
      <c r="J62" s="25">
        <v>60</v>
      </c>
      <c r="K62" s="21">
        <v>35.294117647058826</v>
      </c>
      <c r="L62" s="17">
        <v>185</v>
      </c>
      <c r="M62" s="25">
        <v>6</v>
      </c>
      <c r="N62" s="30">
        <v>3.2432432432432434</v>
      </c>
      <c r="O62" s="17">
        <v>185</v>
      </c>
      <c r="P62" s="25">
        <v>3</v>
      </c>
      <c r="Q62" s="31">
        <v>1.6216216216216217</v>
      </c>
      <c r="R62" s="25">
        <v>172</v>
      </c>
      <c r="S62" s="25">
        <v>11</v>
      </c>
      <c r="T62" s="21">
        <v>6.395348837209303</v>
      </c>
      <c r="U62" s="37">
        <v>10</v>
      </c>
      <c r="V62" s="31">
        <v>5.4054054054054053</v>
      </c>
      <c r="W62" s="37">
        <v>0</v>
      </c>
      <c r="X62" s="30">
        <v>0</v>
      </c>
    </row>
    <row r="63" spans="2:24" ht="15" customHeight="1" x14ac:dyDescent="0.25">
      <c r="B63" s="5" t="s">
        <v>198</v>
      </c>
      <c r="C63" s="7" t="s">
        <v>198</v>
      </c>
      <c r="D63" s="7" t="s">
        <v>272</v>
      </c>
      <c r="E63" s="44">
        <v>210110</v>
      </c>
      <c r="F63" s="17">
        <v>254</v>
      </c>
      <c r="G63" s="25">
        <v>22</v>
      </c>
      <c r="H63" s="21">
        <v>8.6614173228346463</v>
      </c>
      <c r="I63" s="37">
        <v>232</v>
      </c>
      <c r="J63" s="25">
        <v>99</v>
      </c>
      <c r="K63" s="21">
        <v>42.672413793103445</v>
      </c>
      <c r="L63" s="17">
        <v>254</v>
      </c>
      <c r="M63" s="25">
        <v>3</v>
      </c>
      <c r="N63" s="30">
        <v>1.1811023622047243</v>
      </c>
      <c r="O63" s="17">
        <v>254</v>
      </c>
      <c r="P63" s="25">
        <v>1</v>
      </c>
      <c r="Q63" s="31">
        <v>0.39370078740157477</v>
      </c>
      <c r="R63" s="25">
        <v>228</v>
      </c>
      <c r="S63" s="25">
        <v>9</v>
      </c>
      <c r="T63" s="21">
        <v>3.9473684210526314</v>
      </c>
      <c r="U63" s="37">
        <v>21</v>
      </c>
      <c r="V63" s="31">
        <v>8.2677165354330722</v>
      </c>
      <c r="W63" s="37">
        <v>4</v>
      </c>
      <c r="X63" s="30">
        <v>1.5748031496062991</v>
      </c>
    </row>
    <row r="64" spans="2:24" ht="15" customHeight="1" x14ac:dyDescent="0.25">
      <c r="B64" s="5" t="s">
        <v>198</v>
      </c>
      <c r="C64" s="7" t="s">
        <v>198</v>
      </c>
      <c r="D64" s="7" t="s">
        <v>273</v>
      </c>
      <c r="E64" s="44">
        <v>210112</v>
      </c>
      <c r="F64" s="17">
        <v>271</v>
      </c>
      <c r="G64" s="25">
        <v>25</v>
      </c>
      <c r="H64" s="21">
        <v>9.2250922509225095</v>
      </c>
      <c r="I64" s="37">
        <v>246</v>
      </c>
      <c r="J64" s="25">
        <v>88</v>
      </c>
      <c r="K64" s="21">
        <v>35.772357723577237</v>
      </c>
      <c r="L64" s="17">
        <v>271</v>
      </c>
      <c r="M64" s="25">
        <v>3</v>
      </c>
      <c r="N64" s="30">
        <v>1.107011070110701</v>
      </c>
      <c r="O64" s="17">
        <v>271</v>
      </c>
      <c r="P64" s="25">
        <v>2</v>
      </c>
      <c r="Q64" s="31">
        <v>0.73800738007380073</v>
      </c>
      <c r="R64" s="25">
        <v>248</v>
      </c>
      <c r="S64" s="25">
        <v>10</v>
      </c>
      <c r="T64" s="21">
        <v>4.032258064516129</v>
      </c>
      <c r="U64" s="37">
        <v>18</v>
      </c>
      <c r="V64" s="31">
        <v>6.6420664206642073</v>
      </c>
      <c r="W64" s="37">
        <v>3</v>
      </c>
      <c r="X64" s="30">
        <v>1.107011070110701</v>
      </c>
    </row>
    <row r="65" spans="2:24" ht="15" customHeight="1" x14ac:dyDescent="0.25">
      <c r="B65" s="5" t="s">
        <v>198</v>
      </c>
      <c r="C65" s="7" t="s">
        <v>198</v>
      </c>
      <c r="D65" s="7" t="s">
        <v>198</v>
      </c>
      <c r="E65" s="44">
        <v>210101</v>
      </c>
      <c r="F65" s="17">
        <v>4961</v>
      </c>
      <c r="G65" s="25">
        <v>415</v>
      </c>
      <c r="H65" s="21">
        <v>8.365248941745616</v>
      </c>
      <c r="I65" s="37">
        <v>4546</v>
      </c>
      <c r="J65" s="25">
        <v>1645</v>
      </c>
      <c r="K65" s="21">
        <v>36.185657721073468</v>
      </c>
      <c r="L65" s="17">
        <v>4961</v>
      </c>
      <c r="M65" s="25">
        <v>90</v>
      </c>
      <c r="N65" s="30">
        <v>1.8141503729086876</v>
      </c>
      <c r="O65" s="17">
        <v>4961</v>
      </c>
      <c r="P65" s="25">
        <v>40</v>
      </c>
      <c r="Q65" s="31">
        <v>0.80628905462608347</v>
      </c>
      <c r="R65" s="25">
        <v>4580</v>
      </c>
      <c r="S65" s="25">
        <v>220</v>
      </c>
      <c r="T65" s="21">
        <v>4.8034934497816595</v>
      </c>
      <c r="U65" s="37">
        <v>292</v>
      </c>
      <c r="V65" s="31">
        <v>5.8859100987704087</v>
      </c>
      <c r="W65" s="37">
        <v>49</v>
      </c>
      <c r="X65" s="30">
        <v>0.98770409191695219</v>
      </c>
    </row>
    <row r="66" spans="2:24" ht="15" customHeight="1" x14ac:dyDescent="0.25">
      <c r="B66" s="5" t="s">
        <v>198</v>
      </c>
      <c r="C66" s="7" t="s">
        <v>274</v>
      </c>
      <c r="D66" s="7" t="s">
        <v>275</v>
      </c>
      <c r="E66" s="44">
        <v>211002</v>
      </c>
      <c r="F66" s="17">
        <v>237</v>
      </c>
      <c r="G66" s="25">
        <v>49</v>
      </c>
      <c r="H66" s="21">
        <v>20.675105485232066</v>
      </c>
      <c r="I66" s="37">
        <v>188</v>
      </c>
      <c r="J66" s="25">
        <v>83</v>
      </c>
      <c r="K66" s="21">
        <v>44.148936170212764</v>
      </c>
      <c r="L66" s="17">
        <v>237</v>
      </c>
      <c r="M66" s="25">
        <v>10</v>
      </c>
      <c r="N66" s="30">
        <v>4.2194092827004219</v>
      </c>
      <c r="O66" s="17">
        <v>237</v>
      </c>
      <c r="P66" s="25">
        <v>7</v>
      </c>
      <c r="Q66" s="31">
        <v>2.9535864978902953</v>
      </c>
      <c r="R66" s="25">
        <v>215</v>
      </c>
      <c r="S66" s="25">
        <v>12</v>
      </c>
      <c r="T66" s="21">
        <v>5.5813953488372094</v>
      </c>
      <c r="U66" s="37">
        <v>12</v>
      </c>
      <c r="V66" s="31">
        <v>5.0632911392405067</v>
      </c>
      <c r="W66" s="37">
        <v>3</v>
      </c>
      <c r="X66" s="30">
        <v>1.2658227848101267</v>
      </c>
    </row>
    <row r="67" spans="2:24" ht="15" customHeight="1" x14ac:dyDescent="0.25">
      <c r="B67" s="5" t="s">
        <v>198</v>
      </c>
      <c r="C67" s="7" t="s">
        <v>274</v>
      </c>
      <c r="D67" s="7" t="s">
        <v>276</v>
      </c>
      <c r="E67" s="44">
        <v>211005</v>
      </c>
      <c r="F67" s="17">
        <v>107</v>
      </c>
      <c r="G67" s="25">
        <v>22</v>
      </c>
      <c r="H67" s="21">
        <v>20.5607476635514</v>
      </c>
      <c r="I67" s="37">
        <v>85</v>
      </c>
      <c r="J67" s="25">
        <v>46</v>
      </c>
      <c r="K67" s="21">
        <v>54.117647058823529</v>
      </c>
      <c r="L67" s="17">
        <v>107</v>
      </c>
      <c r="M67" s="25">
        <v>2</v>
      </c>
      <c r="N67" s="30">
        <v>1.8691588785046727</v>
      </c>
      <c r="O67" s="17">
        <v>107</v>
      </c>
      <c r="P67" s="25">
        <v>2</v>
      </c>
      <c r="Q67" s="31">
        <v>1.8691588785046727</v>
      </c>
      <c r="R67" s="25">
        <v>88</v>
      </c>
      <c r="S67" s="25">
        <v>1</v>
      </c>
      <c r="T67" s="21">
        <v>1.1363636363636365</v>
      </c>
      <c r="U67" s="37">
        <v>15</v>
      </c>
      <c r="V67" s="31">
        <v>14.018691588785046</v>
      </c>
      <c r="W67" s="37">
        <v>2</v>
      </c>
      <c r="X67" s="30">
        <v>1.8691588785046727</v>
      </c>
    </row>
    <row r="68" spans="2:24" ht="15" customHeight="1" x14ac:dyDescent="0.25">
      <c r="B68" s="5" t="s">
        <v>198</v>
      </c>
      <c r="C68" s="7" t="s">
        <v>277</v>
      </c>
      <c r="D68" s="7" t="s">
        <v>278</v>
      </c>
      <c r="E68" s="44">
        <v>211207</v>
      </c>
      <c r="F68" s="17">
        <v>215</v>
      </c>
      <c r="G68" s="25">
        <v>14</v>
      </c>
      <c r="H68" s="21">
        <v>6.5116279069767442</v>
      </c>
      <c r="I68" s="37">
        <v>201</v>
      </c>
      <c r="J68" s="25">
        <v>70</v>
      </c>
      <c r="K68" s="21">
        <v>34.82587064676617</v>
      </c>
      <c r="L68" s="17">
        <v>215</v>
      </c>
      <c r="M68" s="25">
        <v>1</v>
      </c>
      <c r="N68" s="30">
        <v>0.46511627906976744</v>
      </c>
      <c r="O68" s="17">
        <v>215</v>
      </c>
      <c r="P68" s="25">
        <v>1</v>
      </c>
      <c r="Q68" s="31">
        <v>0.46511627906976744</v>
      </c>
      <c r="R68" s="25">
        <v>194</v>
      </c>
      <c r="S68" s="25">
        <v>6</v>
      </c>
      <c r="T68" s="21">
        <v>3.0927835051546393</v>
      </c>
      <c r="U68" s="37">
        <v>18</v>
      </c>
      <c r="V68" s="31">
        <v>8.3720930232558146</v>
      </c>
      <c r="W68" s="37">
        <v>2</v>
      </c>
      <c r="X68" s="30">
        <v>0.93023255813953487</v>
      </c>
    </row>
    <row r="69" spans="2:24" ht="15" customHeight="1" x14ac:dyDescent="0.25">
      <c r="B69" s="5" t="s">
        <v>198</v>
      </c>
      <c r="C69" s="7" t="s">
        <v>277</v>
      </c>
      <c r="D69" s="7" t="s">
        <v>279</v>
      </c>
      <c r="E69" s="44">
        <v>211210</v>
      </c>
      <c r="F69" s="58">
        <v>654</v>
      </c>
      <c r="G69" s="59">
        <v>72</v>
      </c>
      <c r="H69" s="60">
        <v>11.009174311926607</v>
      </c>
      <c r="I69" s="37">
        <v>582</v>
      </c>
      <c r="J69" s="59">
        <v>169</v>
      </c>
      <c r="K69" s="21">
        <v>29.037800687285227</v>
      </c>
      <c r="L69" s="58">
        <v>654</v>
      </c>
      <c r="M69" s="59">
        <v>17</v>
      </c>
      <c r="N69" s="62">
        <v>2.5993883792048931</v>
      </c>
      <c r="O69" s="58">
        <v>654</v>
      </c>
      <c r="P69" s="59">
        <v>9</v>
      </c>
      <c r="Q69" s="63">
        <v>1.3761467889908259</v>
      </c>
      <c r="R69" s="25">
        <v>582</v>
      </c>
      <c r="S69" s="59">
        <v>44</v>
      </c>
      <c r="T69" s="21">
        <v>7.5601374570446733</v>
      </c>
      <c r="U69" s="61">
        <v>52</v>
      </c>
      <c r="V69" s="63">
        <v>7.951070336391437</v>
      </c>
      <c r="W69" s="61">
        <v>11</v>
      </c>
      <c r="X69" s="62">
        <v>1.6819571865443423</v>
      </c>
    </row>
    <row r="70" spans="2:24" ht="15" customHeight="1" x14ac:dyDescent="0.25">
      <c r="B70" s="5" t="s">
        <v>198</v>
      </c>
      <c r="C70" s="7" t="s">
        <v>277</v>
      </c>
      <c r="D70" s="7" t="s">
        <v>280</v>
      </c>
      <c r="E70" s="44">
        <v>211208</v>
      </c>
      <c r="F70" s="17">
        <v>128</v>
      </c>
      <c r="G70" s="25">
        <v>2</v>
      </c>
      <c r="H70" s="21">
        <v>1.5625</v>
      </c>
      <c r="I70" s="37">
        <v>126</v>
      </c>
      <c r="J70" s="25">
        <v>27</v>
      </c>
      <c r="K70" s="21">
        <v>21.428571428571427</v>
      </c>
      <c r="L70" s="17">
        <v>128</v>
      </c>
      <c r="M70" s="25">
        <v>2</v>
      </c>
      <c r="N70" s="30">
        <v>1.5625</v>
      </c>
      <c r="O70" s="17">
        <v>128</v>
      </c>
      <c r="P70" s="25">
        <v>5</v>
      </c>
      <c r="Q70" s="31">
        <v>3.90625</v>
      </c>
      <c r="R70" s="25">
        <v>113</v>
      </c>
      <c r="S70" s="25">
        <v>4</v>
      </c>
      <c r="T70" s="21">
        <v>3.5398230088495577</v>
      </c>
      <c r="U70" s="37">
        <v>10</v>
      </c>
      <c r="V70" s="31">
        <v>7.8125</v>
      </c>
      <c r="W70" s="37">
        <v>0</v>
      </c>
      <c r="X70" s="30">
        <v>0</v>
      </c>
    </row>
    <row r="71" spans="2:24" ht="15" customHeight="1" x14ac:dyDescent="0.25">
      <c r="B71" s="5" t="s">
        <v>198</v>
      </c>
      <c r="C71" s="7" t="s">
        <v>281</v>
      </c>
      <c r="D71" s="7" t="s">
        <v>282</v>
      </c>
      <c r="E71" s="44">
        <v>211302</v>
      </c>
      <c r="F71" s="17">
        <v>54</v>
      </c>
      <c r="G71" s="25">
        <v>13</v>
      </c>
      <c r="H71" s="21">
        <v>24.074074074074073</v>
      </c>
      <c r="I71" s="37">
        <v>41</v>
      </c>
      <c r="J71" s="25">
        <v>19</v>
      </c>
      <c r="K71" s="21">
        <v>46.341463414634148</v>
      </c>
      <c r="L71" s="17">
        <v>54</v>
      </c>
      <c r="M71" s="25">
        <v>0</v>
      </c>
      <c r="N71" s="30">
        <v>0</v>
      </c>
      <c r="O71" s="17">
        <v>54</v>
      </c>
      <c r="P71" s="25">
        <v>0</v>
      </c>
      <c r="Q71" s="31">
        <v>0</v>
      </c>
      <c r="R71" s="25">
        <v>39</v>
      </c>
      <c r="S71" s="25">
        <v>0</v>
      </c>
      <c r="T71" s="21">
        <v>0</v>
      </c>
      <c r="U71" s="37">
        <v>13</v>
      </c>
      <c r="V71" s="31">
        <v>24.074074074074073</v>
      </c>
      <c r="W71" s="37">
        <v>2</v>
      </c>
      <c r="X71" s="30">
        <v>3.7037037037037033</v>
      </c>
    </row>
    <row r="72" spans="2:24" ht="15" customHeight="1" x14ac:dyDescent="0.25">
      <c r="B72" s="5" t="s">
        <v>198</v>
      </c>
      <c r="C72" s="7" t="s">
        <v>281</v>
      </c>
      <c r="D72" s="7" t="s">
        <v>283</v>
      </c>
      <c r="E72" s="44">
        <v>211303</v>
      </c>
      <c r="F72" s="17">
        <v>234</v>
      </c>
      <c r="G72" s="25">
        <v>24</v>
      </c>
      <c r="H72" s="21">
        <v>10.256410256410255</v>
      </c>
      <c r="I72" s="37">
        <v>210</v>
      </c>
      <c r="J72" s="25">
        <v>72</v>
      </c>
      <c r="K72" s="21">
        <v>34.285714285714285</v>
      </c>
      <c r="L72" s="17">
        <v>234</v>
      </c>
      <c r="M72" s="25">
        <v>4</v>
      </c>
      <c r="N72" s="30">
        <v>1.7094017094017095</v>
      </c>
      <c r="O72" s="17">
        <v>234</v>
      </c>
      <c r="P72" s="25">
        <v>2</v>
      </c>
      <c r="Q72" s="31">
        <v>0.85470085470085477</v>
      </c>
      <c r="R72" s="25">
        <v>228</v>
      </c>
      <c r="S72" s="25">
        <v>5</v>
      </c>
      <c r="T72" s="21">
        <v>2.1929824561403506</v>
      </c>
      <c r="U72" s="37">
        <v>3</v>
      </c>
      <c r="V72" s="31">
        <v>1.2820512820512819</v>
      </c>
      <c r="W72" s="37">
        <v>1</v>
      </c>
      <c r="X72" s="30">
        <v>0.42735042735042739</v>
      </c>
    </row>
    <row r="73" spans="2:24" ht="15" customHeight="1" x14ac:dyDescent="0.25">
      <c r="B73" s="5" t="s">
        <v>198</v>
      </c>
      <c r="C73" s="7" t="s">
        <v>281</v>
      </c>
      <c r="D73" s="7" t="s">
        <v>284</v>
      </c>
      <c r="E73" s="44">
        <v>211304</v>
      </c>
      <c r="F73" s="17">
        <v>46</v>
      </c>
      <c r="G73" s="25">
        <v>4</v>
      </c>
      <c r="H73" s="21">
        <v>8.695652173913043</v>
      </c>
      <c r="I73" s="37">
        <v>42</v>
      </c>
      <c r="J73" s="25">
        <v>10</v>
      </c>
      <c r="K73" s="21">
        <v>23.809523809523807</v>
      </c>
      <c r="L73" s="17">
        <v>46</v>
      </c>
      <c r="M73" s="25">
        <v>0</v>
      </c>
      <c r="N73" s="30">
        <v>0</v>
      </c>
      <c r="O73" s="17">
        <v>46</v>
      </c>
      <c r="P73" s="25">
        <v>1</v>
      </c>
      <c r="Q73" s="31">
        <v>2.1739130434782608</v>
      </c>
      <c r="R73" s="25">
        <v>43</v>
      </c>
      <c r="S73" s="25">
        <v>1</v>
      </c>
      <c r="T73" s="21">
        <v>2.3255813953488373</v>
      </c>
      <c r="U73" s="37">
        <v>2</v>
      </c>
      <c r="V73" s="31">
        <v>4.3478260869565215</v>
      </c>
      <c r="W73" s="37">
        <v>0</v>
      </c>
      <c r="X73" s="30">
        <v>0</v>
      </c>
    </row>
    <row r="74" spans="2:24" ht="15" customHeight="1" x14ac:dyDescent="0.25">
      <c r="B74" s="5" t="s">
        <v>198</v>
      </c>
      <c r="C74" s="7" t="s">
        <v>281</v>
      </c>
      <c r="D74" s="7" t="s">
        <v>285</v>
      </c>
      <c r="E74" s="44">
        <v>211305</v>
      </c>
      <c r="F74" s="17">
        <v>75</v>
      </c>
      <c r="G74" s="25">
        <v>8</v>
      </c>
      <c r="H74" s="21">
        <v>10.666666666666668</v>
      </c>
      <c r="I74" s="37">
        <v>67</v>
      </c>
      <c r="J74" s="25">
        <v>30</v>
      </c>
      <c r="K74" s="21">
        <v>44.776119402985074</v>
      </c>
      <c r="L74" s="17">
        <v>75</v>
      </c>
      <c r="M74" s="25">
        <v>2</v>
      </c>
      <c r="N74" s="30">
        <v>2.666666666666667</v>
      </c>
      <c r="O74" s="17">
        <v>75</v>
      </c>
      <c r="P74" s="25">
        <v>1</v>
      </c>
      <c r="Q74" s="31">
        <v>1.3333333333333335</v>
      </c>
      <c r="R74" s="25">
        <v>70</v>
      </c>
      <c r="S74" s="25">
        <v>6</v>
      </c>
      <c r="T74" s="21">
        <v>8.5714285714285712</v>
      </c>
      <c r="U74" s="37">
        <v>2</v>
      </c>
      <c r="V74" s="31">
        <v>2.666666666666667</v>
      </c>
      <c r="W74" s="37">
        <v>2</v>
      </c>
      <c r="X74" s="30">
        <v>2.666666666666667</v>
      </c>
    </row>
    <row r="75" spans="2:24" ht="15" customHeight="1" x14ac:dyDescent="0.25">
      <c r="B75" s="5" t="s">
        <v>198</v>
      </c>
      <c r="C75" s="7" t="s">
        <v>281</v>
      </c>
      <c r="D75" s="7" t="s">
        <v>286</v>
      </c>
      <c r="E75" s="44">
        <v>211306</v>
      </c>
      <c r="F75" s="17">
        <v>32</v>
      </c>
      <c r="G75" s="25">
        <v>8</v>
      </c>
      <c r="H75" s="21">
        <v>25</v>
      </c>
      <c r="I75" s="37">
        <v>24</v>
      </c>
      <c r="J75" s="25">
        <v>11</v>
      </c>
      <c r="K75" s="21">
        <v>45.833333333333329</v>
      </c>
      <c r="L75" s="17">
        <v>32</v>
      </c>
      <c r="M75" s="25">
        <v>1</v>
      </c>
      <c r="N75" s="30">
        <v>3.125</v>
      </c>
      <c r="O75" s="17">
        <v>32</v>
      </c>
      <c r="P75" s="25">
        <v>0</v>
      </c>
      <c r="Q75" s="31">
        <v>0</v>
      </c>
      <c r="R75" s="25">
        <v>31</v>
      </c>
      <c r="S75" s="25">
        <v>2</v>
      </c>
      <c r="T75" s="21">
        <v>6.4516129032258061</v>
      </c>
      <c r="U75" s="37">
        <v>0</v>
      </c>
      <c r="V75" s="31">
        <v>0</v>
      </c>
      <c r="W75" s="37">
        <v>1</v>
      </c>
      <c r="X75" s="30">
        <v>3.125</v>
      </c>
    </row>
    <row r="76" spans="2:24" ht="15" customHeight="1" x14ac:dyDescent="0.25">
      <c r="B76" s="5" t="s">
        <v>198</v>
      </c>
      <c r="C76" s="7" t="s">
        <v>281</v>
      </c>
      <c r="D76" s="7" t="s">
        <v>287</v>
      </c>
      <c r="E76" s="44">
        <v>211307</v>
      </c>
      <c r="F76" s="17">
        <v>38</v>
      </c>
      <c r="G76" s="25">
        <v>3</v>
      </c>
      <c r="H76" s="21">
        <v>7.8947368421052628</v>
      </c>
      <c r="I76" s="37">
        <v>35</v>
      </c>
      <c r="J76" s="25">
        <v>15</v>
      </c>
      <c r="K76" s="21">
        <v>42.857142857142854</v>
      </c>
      <c r="L76" s="17">
        <v>38</v>
      </c>
      <c r="M76" s="25">
        <v>1</v>
      </c>
      <c r="N76" s="30">
        <v>2.6315789473684208</v>
      </c>
      <c r="O76" s="17">
        <v>38</v>
      </c>
      <c r="P76" s="25">
        <v>3</v>
      </c>
      <c r="Q76" s="31">
        <v>7.8947368421052628</v>
      </c>
      <c r="R76" s="25">
        <v>33</v>
      </c>
      <c r="S76" s="25">
        <v>1</v>
      </c>
      <c r="T76" s="21">
        <v>3.0303030303030303</v>
      </c>
      <c r="U76" s="37">
        <v>1</v>
      </c>
      <c r="V76" s="31">
        <v>2.6315789473684208</v>
      </c>
      <c r="W76" s="37">
        <v>1</v>
      </c>
      <c r="X76" s="30">
        <v>2.6315789473684208</v>
      </c>
    </row>
    <row r="77" spans="2:24" ht="15" customHeight="1" x14ac:dyDescent="0.25">
      <c r="B77" s="5" t="s">
        <v>198</v>
      </c>
      <c r="C77" s="7" t="s">
        <v>281</v>
      </c>
      <c r="D77" s="7" t="s">
        <v>281</v>
      </c>
      <c r="E77" s="44">
        <v>211301</v>
      </c>
      <c r="F77" s="17">
        <v>1359</v>
      </c>
      <c r="G77" s="25">
        <v>119</v>
      </c>
      <c r="H77" s="21">
        <v>8.7564385577630599</v>
      </c>
      <c r="I77" s="37">
        <v>1240</v>
      </c>
      <c r="J77" s="25">
        <v>416</v>
      </c>
      <c r="K77" s="21">
        <v>33.548387096774199</v>
      </c>
      <c r="L77" s="17">
        <v>1359</v>
      </c>
      <c r="M77" s="25">
        <v>31</v>
      </c>
      <c r="N77" s="30">
        <v>2.2810890360559237</v>
      </c>
      <c r="O77" s="17">
        <v>1359</v>
      </c>
      <c r="P77" s="25">
        <v>24</v>
      </c>
      <c r="Q77" s="31">
        <v>1.7660044150110374</v>
      </c>
      <c r="R77" s="25">
        <v>1245</v>
      </c>
      <c r="S77" s="25">
        <v>59</v>
      </c>
      <c r="T77" s="21">
        <v>4.738955823293173</v>
      </c>
      <c r="U77" s="37">
        <v>81</v>
      </c>
      <c r="V77" s="31">
        <v>5.9602649006622519</v>
      </c>
      <c r="W77" s="37">
        <v>9</v>
      </c>
      <c r="X77" s="30">
        <v>0.66225165562913912</v>
      </c>
    </row>
    <row r="78" spans="2:24" ht="15" customHeight="1" x14ac:dyDescent="0.25">
      <c r="B78" s="5" t="s">
        <v>200</v>
      </c>
      <c r="C78" s="7" t="s">
        <v>200</v>
      </c>
      <c r="D78" s="7" t="s">
        <v>288</v>
      </c>
      <c r="E78" s="44">
        <v>230111</v>
      </c>
      <c r="F78" s="17">
        <v>783</v>
      </c>
      <c r="G78" s="25">
        <v>32</v>
      </c>
      <c r="H78" s="21">
        <v>4.0868454661558111</v>
      </c>
      <c r="I78" s="37">
        <v>751</v>
      </c>
      <c r="J78" s="25">
        <v>183</v>
      </c>
      <c r="K78" s="21">
        <v>24.367509986684421</v>
      </c>
      <c r="L78" s="17">
        <v>783</v>
      </c>
      <c r="M78" s="25">
        <v>4</v>
      </c>
      <c r="N78" s="30">
        <v>0.51085568326947639</v>
      </c>
      <c r="O78" s="17">
        <v>783</v>
      </c>
      <c r="P78" s="25">
        <v>3</v>
      </c>
      <c r="Q78" s="31">
        <v>0.38314176245210724</v>
      </c>
      <c r="R78" s="25">
        <v>646</v>
      </c>
      <c r="S78" s="25">
        <v>21</v>
      </c>
      <c r="T78" s="21">
        <v>3.2507739938080498</v>
      </c>
      <c r="U78" s="37">
        <v>96</v>
      </c>
      <c r="V78" s="31">
        <v>12.260536398467432</v>
      </c>
      <c r="W78" s="37">
        <v>38</v>
      </c>
      <c r="X78" s="30">
        <v>4.853128991060025</v>
      </c>
    </row>
    <row r="79" spans="2:24" ht="15" customHeight="1" x14ac:dyDescent="0.25">
      <c r="B79" s="5" t="s">
        <v>200</v>
      </c>
      <c r="C79" s="7" t="s">
        <v>200</v>
      </c>
      <c r="D79" s="7" t="s">
        <v>289</v>
      </c>
      <c r="E79" s="44">
        <v>230107</v>
      </c>
      <c r="F79" s="17">
        <v>89</v>
      </c>
      <c r="G79" s="25">
        <v>15</v>
      </c>
      <c r="H79" s="21">
        <v>16.853932584269664</v>
      </c>
      <c r="I79" s="37">
        <v>74</v>
      </c>
      <c r="J79" s="25">
        <v>28</v>
      </c>
      <c r="K79" s="21">
        <v>37.837837837837839</v>
      </c>
      <c r="L79" s="17">
        <v>89</v>
      </c>
      <c r="M79" s="25">
        <v>3</v>
      </c>
      <c r="N79" s="30">
        <v>3.3707865168539324</v>
      </c>
      <c r="O79" s="17">
        <v>89</v>
      </c>
      <c r="P79" s="25">
        <v>3</v>
      </c>
      <c r="Q79" s="31">
        <v>3.3707865168539324</v>
      </c>
      <c r="R79" s="25">
        <v>78</v>
      </c>
      <c r="S79" s="25">
        <v>6</v>
      </c>
      <c r="T79" s="21">
        <v>7.6923076923076925</v>
      </c>
      <c r="U79" s="37">
        <v>8</v>
      </c>
      <c r="V79" s="31">
        <v>8.9887640449438209</v>
      </c>
      <c r="W79" s="37">
        <v>0</v>
      </c>
      <c r="X79" s="30">
        <v>0</v>
      </c>
    </row>
    <row r="80" spans="2:24" ht="15" customHeight="1" x14ac:dyDescent="0.25">
      <c r="B80" s="5" t="s">
        <v>200</v>
      </c>
      <c r="C80" s="7" t="s">
        <v>200</v>
      </c>
      <c r="D80" s="7" t="s">
        <v>200</v>
      </c>
      <c r="E80" s="44">
        <v>230101</v>
      </c>
      <c r="F80" s="17">
        <v>2344</v>
      </c>
      <c r="G80" s="25">
        <v>96</v>
      </c>
      <c r="H80" s="21">
        <v>4.0955631399317403</v>
      </c>
      <c r="I80" s="37">
        <v>2248</v>
      </c>
      <c r="J80" s="25">
        <v>323</v>
      </c>
      <c r="K80" s="21">
        <v>14.368327402135231</v>
      </c>
      <c r="L80" s="17">
        <v>2344</v>
      </c>
      <c r="M80" s="25">
        <v>39</v>
      </c>
      <c r="N80" s="30">
        <v>1.6638225255972698</v>
      </c>
      <c r="O80" s="17">
        <v>2344</v>
      </c>
      <c r="P80" s="25">
        <v>29</v>
      </c>
      <c r="Q80" s="31">
        <v>1.2372013651877134</v>
      </c>
      <c r="R80" s="25">
        <v>1937</v>
      </c>
      <c r="S80" s="25">
        <v>83</v>
      </c>
      <c r="T80" s="21">
        <v>4.2849767681982449</v>
      </c>
      <c r="U80" s="37">
        <v>271</v>
      </c>
      <c r="V80" s="31">
        <v>11.561433447098976</v>
      </c>
      <c r="W80" s="37">
        <v>107</v>
      </c>
      <c r="X80" s="30">
        <v>4.5648464163822524</v>
      </c>
    </row>
    <row r="81" spans="2:24" ht="15" customHeight="1" x14ac:dyDescent="0.25">
      <c r="B81" s="5" t="s">
        <v>200</v>
      </c>
      <c r="C81" s="7" t="s">
        <v>290</v>
      </c>
      <c r="D81" s="7" t="s">
        <v>290</v>
      </c>
      <c r="E81" s="44">
        <v>230401</v>
      </c>
      <c r="F81" s="17">
        <v>157</v>
      </c>
      <c r="G81" s="25">
        <v>13</v>
      </c>
      <c r="H81" s="21">
        <v>8.2802547770700627</v>
      </c>
      <c r="I81" s="37">
        <v>144</v>
      </c>
      <c r="J81" s="25">
        <v>57</v>
      </c>
      <c r="K81" s="21">
        <v>39.583333333333329</v>
      </c>
      <c r="L81" s="17">
        <v>157</v>
      </c>
      <c r="M81" s="25">
        <v>2</v>
      </c>
      <c r="N81" s="30">
        <v>1.2738853503184715</v>
      </c>
      <c r="O81" s="17">
        <v>157</v>
      </c>
      <c r="P81" s="25">
        <v>1</v>
      </c>
      <c r="Q81" s="31">
        <v>0.63694267515923575</v>
      </c>
      <c r="R81" s="25">
        <v>144</v>
      </c>
      <c r="S81" s="25">
        <v>9</v>
      </c>
      <c r="T81" s="21">
        <v>6.25</v>
      </c>
      <c r="U81" s="37">
        <v>9</v>
      </c>
      <c r="V81" s="31">
        <v>5.7324840764331215</v>
      </c>
      <c r="W81" s="37">
        <v>3</v>
      </c>
      <c r="X81" s="30">
        <v>1.910828025477707</v>
      </c>
    </row>
    <row r="82" spans="2:24" ht="15" customHeight="1" x14ac:dyDescent="0.25">
      <c r="B82" s="5" t="s">
        <v>201</v>
      </c>
      <c r="C82" s="7" t="s">
        <v>201</v>
      </c>
      <c r="D82" s="7" t="s">
        <v>291</v>
      </c>
      <c r="E82" s="44">
        <v>240104</v>
      </c>
      <c r="F82" s="17">
        <v>666</v>
      </c>
      <c r="G82" s="25">
        <v>57</v>
      </c>
      <c r="H82" s="21">
        <v>8.5585585585585591</v>
      </c>
      <c r="I82" s="37">
        <v>609</v>
      </c>
      <c r="J82" s="25">
        <v>146</v>
      </c>
      <c r="K82" s="21">
        <v>23.973727422003286</v>
      </c>
      <c r="L82" s="17">
        <v>666</v>
      </c>
      <c r="M82" s="25">
        <v>22</v>
      </c>
      <c r="N82" s="30">
        <v>3.303303303303303</v>
      </c>
      <c r="O82" s="17">
        <v>666</v>
      </c>
      <c r="P82" s="25">
        <v>14</v>
      </c>
      <c r="Q82" s="31">
        <v>2.1021021021021022</v>
      </c>
      <c r="R82" s="25">
        <v>602</v>
      </c>
      <c r="S82" s="25">
        <v>52</v>
      </c>
      <c r="T82" s="21">
        <v>8.6378737541528228</v>
      </c>
      <c r="U82" s="37">
        <v>23</v>
      </c>
      <c r="V82" s="31">
        <v>3.4534534534534531</v>
      </c>
      <c r="W82" s="37">
        <v>27</v>
      </c>
      <c r="X82" s="30">
        <v>4.0540540540540544</v>
      </c>
    </row>
    <row r="83" spans="2:24" ht="15" customHeight="1" x14ac:dyDescent="0.25">
      <c r="B83" s="5" t="s">
        <v>201</v>
      </c>
      <c r="C83" s="7" t="s">
        <v>201</v>
      </c>
      <c r="D83" s="7" t="s">
        <v>292</v>
      </c>
      <c r="E83" s="44">
        <v>240105</v>
      </c>
      <c r="F83" s="17">
        <v>638</v>
      </c>
      <c r="G83" s="25">
        <v>36</v>
      </c>
      <c r="H83" s="21">
        <v>5.6426332288401255</v>
      </c>
      <c r="I83" s="37">
        <v>602</v>
      </c>
      <c r="J83" s="25">
        <v>143</v>
      </c>
      <c r="K83" s="21">
        <v>23.754152823920265</v>
      </c>
      <c r="L83" s="17">
        <v>638</v>
      </c>
      <c r="M83" s="25">
        <v>15</v>
      </c>
      <c r="N83" s="30">
        <v>2.3510971786833856</v>
      </c>
      <c r="O83" s="17">
        <v>638</v>
      </c>
      <c r="P83" s="25">
        <v>20</v>
      </c>
      <c r="Q83" s="31">
        <v>3.1347962382445136</v>
      </c>
      <c r="R83" s="25">
        <v>560</v>
      </c>
      <c r="S83" s="25">
        <v>49</v>
      </c>
      <c r="T83" s="21">
        <v>8.75</v>
      </c>
      <c r="U83" s="37">
        <v>39</v>
      </c>
      <c r="V83" s="31">
        <v>6.1128526645768027</v>
      </c>
      <c r="W83" s="37">
        <v>19</v>
      </c>
      <c r="X83" s="30">
        <v>2.9780564263322882</v>
      </c>
    </row>
    <row r="84" spans="2:24" ht="15" customHeight="1" x14ac:dyDescent="0.25">
      <c r="B84" s="5" t="s">
        <v>201</v>
      </c>
      <c r="C84" s="7" t="s">
        <v>293</v>
      </c>
      <c r="D84" s="7" t="s">
        <v>294</v>
      </c>
      <c r="E84" s="44">
        <v>240302</v>
      </c>
      <c r="F84" s="17">
        <v>1457</v>
      </c>
      <c r="G84" s="25">
        <v>196</v>
      </c>
      <c r="H84" s="21">
        <v>13.452299245024021</v>
      </c>
      <c r="I84" s="37">
        <v>1261</v>
      </c>
      <c r="J84" s="25">
        <v>429</v>
      </c>
      <c r="K84" s="21">
        <v>34.020618556701031</v>
      </c>
      <c r="L84" s="17">
        <v>1457</v>
      </c>
      <c r="M84" s="25">
        <v>43</v>
      </c>
      <c r="N84" s="30">
        <v>2.9512697323266988</v>
      </c>
      <c r="O84" s="17">
        <v>1457</v>
      </c>
      <c r="P84" s="25">
        <v>27</v>
      </c>
      <c r="Q84" s="31">
        <v>1.8531228551818806</v>
      </c>
      <c r="R84" s="25">
        <v>1307</v>
      </c>
      <c r="S84" s="25">
        <v>104</v>
      </c>
      <c r="T84" s="21">
        <v>7.9571537872991582</v>
      </c>
      <c r="U84" s="37">
        <v>93</v>
      </c>
      <c r="V84" s="31">
        <v>6.3829787234042552</v>
      </c>
      <c r="W84" s="37">
        <v>30</v>
      </c>
      <c r="X84" s="30">
        <v>2.0590253946465338</v>
      </c>
    </row>
    <row r="85" spans="2:24" ht="15" customHeight="1" x14ac:dyDescent="0.25">
      <c r="B85" s="5" t="s">
        <v>201</v>
      </c>
      <c r="C85" s="7" t="s">
        <v>293</v>
      </c>
      <c r="D85" s="7" t="s">
        <v>295</v>
      </c>
      <c r="E85" s="44">
        <v>240303</v>
      </c>
      <c r="F85" s="17">
        <v>363</v>
      </c>
      <c r="G85" s="25">
        <v>42</v>
      </c>
      <c r="H85" s="21">
        <v>11.570247933884298</v>
      </c>
      <c r="I85" s="37">
        <v>321</v>
      </c>
      <c r="J85" s="25">
        <v>122</v>
      </c>
      <c r="K85" s="21">
        <v>38.006230529595015</v>
      </c>
      <c r="L85" s="17">
        <v>363</v>
      </c>
      <c r="M85" s="25">
        <v>11</v>
      </c>
      <c r="N85" s="30">
        <v>3.0303030303030303</v>
      </c>
      <c r="O85" s="17">
        <v>363</v>
      </c>
      <c r="P85" s="25">
        <v>2</v>
      </c>
      <c r="Q85" s="31">
        <v>0.55096418732782371</v>
      </c>
      <c r="R85" s="25">
        <v>347</v>
      </c>
      <c r="S85" s="25">
        <v>39</v>
      </c>
      <c r="T85" s="21">
        <v>11.239193083573488</v>
      </c>
      <c r="U85" s="37">
        <v>10</v>
      </c>
      <c r="V85" s="31">
        <v>2.7548209366391188</v>
      </c>
      <c r="W85" s="37">
        <v>4</v>
      </c>
      <c r="X85" s="30">
        <v>1.1019283746556474</v>
      </c>
    </row>
    <row r="86" spans="2:24" ht="15" customHeight="1" x14ac:dyDescent="0.25">
      <c r="B86" s="5" t="s">
        <v>201</v>
      </c>
      <c r="C86" s="7" t="s">
        <v>293</v>
      </c>
      <c r="D86" s="7" t="s">
        <v>296</v>
      </c>
      <c r="E86" s="44">
        <v>240304</v>
      </c>
      <c r="F86" s="17">
        <v>641</v>
      </c>
      <c r="G86" s="25">
        <v>75</v>
      </c>
      <c r="H86" s="21">
        <v>11.700468018720748</v>
      </c>
      <c r="I86" s="37">
        <v>566</v>
      </c>
      <c r="J86" s="25">
        <v>188</v>
      </c>
      <c r="K86" s="21">
        <v>33.215547703180206</v>
      </c>
      <c r="L86" s="17">
        <v>641</v>
      </c>
      <c r="M86" s="25">
        <v>23</v>
      </c>
      <c r="N86" s="30">
        <v>3.5881435257410299</v>
      </c>
      <c r="O86" s="17">
        <v>641</v>
      </c>
      <c r="P86" s="25">
        <v>22</v>
      </c>
      <c r="Q86" s="31">
        <v>3.4321372854914198</v>
      </c>
      <c r="R86" s="25">
        <v>576</v>
      </c>
      <c r="S86" s="25">
        <v>42</v>
      </c>
      <c r="T86" s="21">
        <v>7.291666666666667</v>
      </c>
      <c r="U86" s="37">
        <v>30</v>
      </c>
      <c r="V86" s="31">
        <v>4.6801872074882995</v>
      </c>
      <c r="W86" s="37">
        <v>13</v>
      </c>
      <c r="X86" s="30">
        <v>2.0280811232449301</v>
      </c>
    </row>
    <row r="87" spans="2:24" ht="15" customHeight="1" x14ac:dyDescent="0.25">
      <c r="B87" s="5" t="s">
        <v>201</v>
      </c>
      <c r="C87" s="7" t="s">
        <v>293</v>
      </c>
      <c r="D87" s="7" t="s">
        <v>293</v>
      </c>
      <c r="E87" s="44">
        <v>240301</v>
      </c>
      <c r="F87" s="17">
        <v>1658</v>
      </c>
      <c r="G87" s="25">
        <v>186</v>
      </c>
      <c r="H87" s="21">
        <v>11.218335343787695</v>
      </c>
      <c r="I87" s="37">
        <v>1472</v>
      </c>
      <c r="J87" s="25">
        <v>495</v>
      </c>
      <c r="K87" s="21">
        <v>33.627717391304344</v>
      </c>
      <c r="L87" s="17">
        <v>1658</v>
      </c>
      <c r="M87" s="25">
        <v>52</v>
      </c>
      <c r="N87" s="30">
        <v>3.1363088057901085</v>
      </c>
      <c r="O87" s="17">
        <v>1658</v>
      </c>
      <c r="P87" s="25">
        <v>29</v>
      </c>
      <c r="Q87" s="31">
        <v>1.7490952955367913</v>
      </c>
      <c r="R87" s="25">
        <v>1491</v>
      </c>
      <c r="S87" s="25">
        <v>116</v>
      </c>
      <c r="T87" s="21">
        <v>7.7800134138162305</v>
      </c>
      <c r="U87" s="37">
        <v>107</v>
      </c>
      <c r="V87" s="31">
        <v>6.4535585042219541</v>
      </c>
      <c r="W87" s="37">
        <v>31</v>
      </c>
      <c r="X87" s="30">
        <v>1.8697225572979495</v>
      </c>
    </row>
    <row r="88" spans="2:24" ht="15" customHeight="1" x14ac:dyDescent="0.25">
      <c r="B88" s="5" t="s">
        <v>202</v>
      </c>
      <c r="C88" s="7" t="s">
        <v>297</v>
      </c>
      <c r="D88" s="7" t="s">
        <v>298</v>
      </c>
      <c r="E88" s="44">
        <v>250204</v>
      </c>
      <c r="F88" s="17">
        <v>401</v>
      </c>
      <c r="G88" s="25">
        <v>171</v>
      </c>
      <c r="H88" s="21">
        <v>42.643391521197003</v>
      </c>
      <c r="I88" s="37">
        <v>230</v>
      </c>
      <c r="J88" s="25">
        <v>155</v>
      </c>
      <c r="K88" s="21">
        <v>67.391304347826093</v>
      </c>
      <c r="L88" s="17">
        <v>401</v>
      </c>
      <c r="M88" s="25">
        <v>67</v>
      </c>
      <c r="N88" s="30">
        <v>16.708229426433917</v>
      </c>
      <c r="O88" s="17">
        <v>401</v>
      </c>
      <c r="P88" s="25">
        <v>31</v>
      </c>
      <c r="Q88" s="31">
        <v>7.7306733167082298</v>
      </c>
      <c r="R88" s="25">
        <v>339</v>
      </c>
      <c r="S88" s="25">
        <v>43</v>
      </c>
      <c r="T88" s="21">
        <v>12.684365781710916</v>
      </c>
      <c r="U88" s="37">
        <v>25</v>
      </c>
      <c r="V88" s="31">
        <v>6.2344139650872821</v>
      </c>
      <c r="W88" s="37">
        <v>6</v>
      </c>
      <c r="X88" s="30">
        <v>1.4962593516209477</v>
      </c>
    </row>
    <row r="89" spans="2:24" ht="15" customHeight="1" x14ac:dyDescent="0.25">
      <c r="B89" s="5" t="s">
        <v>202</v>
      </c>
      <c r="C89" s="7" t="s">
        <v>299</v>
      </c>
      <c r="D89" s="7" t="s">
        <v>300</v>
      </c>
      <c r="E89" s="44">
        <v>250101</v>
      </c>
      <c r="F89" s="17">
        <v>10871</v>
      </c>
      <c r="G89" s="25">
        <v>1867</v>
      </c>
      <c r="H89" s="21">
        <v>17.174133014442095</v>
      </c>
      <c r="I89" s="37">
        <v>9004</v>
      </c>
      <c r="J89" s="25">
        <v>3443</v>
      </c>
      <c r="K89" s="21">
        <v>38.238560639715679</v>
      </c>
      <c r="L89" s="17">
        <v>10871</v>
      </c>
      <c r="M89" s="25">
        <v>773</v>
      </c>
      <c r="N89" s="30">
        <v>7.1106613926961648</v>
      </c>
      <c r="O89" s="17">
        <v>10871</v>
      </c>
      <c r="P89" s="25">
        <v>335</v>
      </c>
      <c r="Q89" s="31">
        <v>3.0815932296936808</v>
      </c>
      <c r="R89" s="25">
        <v>9978</v>
      </c>
      <c r="S89" s="25">
        <v>1200</v>
      </c>
      <c r="T89" s="21">
        <v>12.026458208057727</v>
      </c>
      <c r="U89" s="37">
        <v>408</v>
      </c>
      <c r="V89" s="31">
        <v>3.7531045901940945</v>
      </c>
      <c r="W89" s="37">
        <v>150</v>
      </c>
      <c r="X89" s="30">
        <v>1.3798178640419465</v>
      </c>
    </row>
    <row r="90" spans="2:24" ht="15" customHeight="1" x14ac:dyDescent="0.25">
      <c r="B90" s="5" t="s">
        <v>202</v>
      </c>
      <c r="C90" s="7" t="s">
        <v>299</v>
      </c>
      <c r="D90" s="7" t="s">
        <v>301</v>
      </c>
      <c r="E90" s="44">
        <v>250104</v>
      </c>
      <c r="F90" s="17">
        <v>1968</v>
      </c>
      <c r="G90" s="25">
        <v>718</v>
      </c>
      <c r="H90" s="21">
        <v>36.483739837398375</v>
      </c>
      <c r="I90" s="37">
        <v>1250</v>
      </c>
      <c r="J90" s="25">
        <v>681</v>
      </c>
      <c r="K90" s="21">
        <v>54.48</v>
      </c>
      <c r="L90" s="17">
        <v>1968</v>
      </c>
      <c r="M90" s="25">
        <v>184</v>
      </c>
      <c r="N90" s="30">
        <v>9.3495934959349594</v>
      </c>
      <c r="O90" s="17">
        <v>1968</v>
      </c>
      <c r="P90" s="25">
        <v>66</v>
      </c>
      <c r="Q90" s="31">
        <v>3.3536585365853662</v>
      </c>
      <c r="R90" s="25">
        <v>1767</v>
      </c>
      <c r="S90" s="25">
        <v>133</v>
      </c>
      <c r="T90" s="21">
        <v>7.5268817204301079</v>
      </c>
      <c r="U90" s="37">
        <v>91</v>
      </c>
      <c r="V90" s="31">
        <v>4.6239837398373984</v>
      </c>
      <c r="W90" s="37">
        <v>44</v>
      </c>
      <c r="X90" s="30">
        <v>2.2357723577235773</v>
      </c>
    </row>
    <row r="91" spans="2:24" ht="15" customHeight="1" thickBot="1" x14ac:dyDescent="0.3">
      <c r="B91" s="5" t="s">
        <v>202</v>
      </c>
      <c r="C91" s="7" t="s">
        <v>302</v>
      </c>
      <c r="D91" s="7" t="s">
        <v>302</v>
      </c>
      <c r="E91" s="44">
        <v>250401</v>
      </c>
      <c r="F91" s="17">
        <v>464</v>
      </c>
      <c r="G91" s="25">
        <v>203</v>
      </c>
      <c r="H91" s="21">
        <v>43.75</v>
      </c>
      <c r="I91" s="37">
        <v>261</v>
      </c>
      <c r="J91" s="25">
        <v>147</v>
      </c>
      <c r="K91" s="21">
        <v>56.321839080459768</v>
      </c>
      <c r="L91" s="17">
        <v>464</v>
      </c>
      <c r="M91" s="25">
        <v>49</v>
      </c>
      <c r="N91" s="30">
        <v>10.560344827586206</v>
      </c>
      <c r="O91" s="17">
        <v>464</v>
      </c>
      <c r="P91" s="25">
        <v>9</v>
      </c>
      <c r="Q91" s="31">
        <v>1.9396551724137931</v>
      </c>
      <c r="R91" s="25">
        <v>400</v>
      </c>
      <c r="S91" s="25">
        <v>28</v>
      </c>
      <c r="T91" s="21">
        <v>7.0000000000000009</v>
      </c>
      <c r="U91" s="37">
        <v>43</v>
      </c>
      <c r="V91" s="31">
        <v>9.2672413793103452</v>
      </c>
      <c r="W91" s="37">
        <v>12</v>
      </c>
      <c r="X91" s="30">
        <v>2.5862068965517242</v>
      </c>
    </row>
    <row r="92" spans="2:24" ht="15" customHeight="1" thickBot="1" x14ac:dyDescent="0.3">
      <c r="B92" s="98" t="s">
        <v>44</v>
      </c>
      <c r="C92" s="99"/>
      <c r="D92" s="99"/>
      <c r="E92" s="100"/>
      <c r="F92" s="19">
        <f>SUM(F8:F91)</f>
        <v>98940</v>
      </c>
      <c r="G92" s="27">
        <f>SUM(G8:G91)</f>
        <v>20698</v>
      </c>
      <c r="H92" s="23">
        <f>G92/F92*100</f>
        <v>20.919749343036184</v>
      </c>
      <c r="I92" s="39">
        <f>SUM(I8:I91)</f>
        <v>78242</v>
      </c>
      <c r="J92" s="39">
        <f>SUM(J8:J91)</f>
        <v>32270</v>
      </c>
      <c r="K92" s="23">
        <f>J92/I92*100</f>
        <v>41.243833235346742</v>
      </c>
      <c r="L92" s="19">
        <f>SUM(L8:L91)</f>
        <v>98940</v>
      </c>
      <c r="M92" s="27">
        <f>SUM(M8:M91)</f>
        <v>5593</v>
      </c>
      <c r="N92" s="34">
        <f>M92/L92*100</f>
        <v>5.6529209621993131</v>
      </c>
      <c r="O92" s="19">
        <f>SUM(O8:O91)</f>
        <v>98940</v>
      </c>
      <c r="P92" s="27">
        <f>SUM(P8:P91)</f>
        <v>2429</v>
      </c>
      <c r="Q92" s="35">
        <f>P92/O92*100</f>
        <v>2.455023246411967</v>
      </c>
      <c r="R92" s="27">
        <f>SUM(R8:R91)</f>
        <v>89388</v>
      </c>
      <c r="S92" s="27">
        <f>SUM(S8:S91)</f>
        <v>6942</v>
      </c>
      <c r="T92" s="35">
        <f>S92/R92*100</f>
        <v>7.7661431064572417</v>
      </c>
      <c r="U92" s="39">
        <f>SUM(U8:U91)</f>
        <v>5494</v>
      </c>
      <c r="V92" s="35">
        <f>U92/O92*100</f>
        <v>5.552860319385486</v>
      </c>
      <c r="W92" s="39">
        <f>SUM(W8:W91)</f>
        <v>1629</v>
      </c>
      <c r="X92" s="34">
        <f>W92/O92*100</f>
        <v>1.6464523953911463</v>
      </c>
    </row>
    <row r="93" spans="2:24" ht="15" customHeight="1" x14ac:dyDescent="0.25">
      <c r="B93" s="2" t="str">
        <f>_xlfn.CONCAT("Fuente: Sistema de Información SIEN - HIS, ",RIGHT(INICIO!C8,4),".")</f>
        <v>Fuente: Sistema de Información SIEN - HIS, 2025.</v>
      </c>
      <c r="C93" s="2"/>
      <c r="D93" s="2"/>
      <c r="E93" s="2"/>
      <c r="F93" s="2"/>
    </row>
    <row r="94" spans="2:24" ht="15" customHeight="1" x14ac:dyDescent="0.25">
      <c r="B94" s="2" t="s">
        <v>69</v>
      </c>
      <c r="C94" s="2"/>
      <c r="D94" s="2"/>
      <c r="E94" s="2"/>
      <c r="F94" s="2"/>
    </row>
    <row r="95" spans="2:24" ht="15" customHeight="1" x14ac:dyDescent="0.25">
      <c r="B95" s="2" t="s">
        <v>16</v>
      </c>
      <c r="C95" s="2"/>
      <c r="D95" s="2"/>
      <c r="E95" s="2"/>
      <c r="F95" s="2"/>
    </row>
    <row r="96" spans="2:24" ht="15" customHeight="1" x14ac:dyDescent="0.25">
      <c r="B96" s="2" t="s">
        <v>21</v>
      </c>
      <c r="C96" s="2"/>
      <c r="D96" s="2"/>
      <c r="E96" s="2"/>
      <c r="F96" s="2"/>
    </row>
    <row r="97" spans="2:2" ht="15" customHeight="1" x14ac:dyDescent="0.25">
      <c r="B97" s="2"/>
    </row>
    <row r="98" spans="2:2" ht="15" customHeight="1" x14ac:dyDescent="0.25">
      <c r="B98" s="2"/>
    </row>
  </sheetData>
  <mergeCells count="22">
    <mergeCell ref="B2:X2"/>
    <mergeCell ref="B3:X3"/>
    <mergeCell ref="B5:B7"/>
    <mergeCell ref="C5:C7"/>
    <mergeCell ref="D5:D7"/>
    <mergeCell ref="E5:E7"/>
    <mergeCell ref="F5:K5"/>
    <mergeCell ref="L5:N5"/>
    <mergeCell ref="O5:X5"/>
    <mergeCell ref="F6:F7"/>
    <mergeCell ref="U6:V6"/>
    <mergeCell ref="W6:X6"/>
    <mergeCell ref="O6:O7"/>
    <mergeCell ref="P6:Q6"/>
    <mergeCell ref="J6:K6"/>
    <mergeCell ref="I6:I7"/>
    <mergeCell ref="B92:E92"/>
    <mergeCell ref="G6:H6"/>
    <mergeCell ref="L6:L7"/>
    <mergeCell ref="M6:N6"/>
    <mergeCell ref="S6:T6"/>
    <mergeCell ref="R6:R7"/>
  </mergeCells>
  <phoneticPr fontId="17" type="noConversion"/>
  <conditionalFormatting sqref="E8:E91">
    <cfRule type="duplicateValues" dxfId="0" priority="77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FA65D-B257-4707-A51E-87EE2F7F4E1B}">
  <sheetPr codeName="Hoja15">
    <tabColor rgb="FFC00000"/>
  </sheetPr>
  <dimension ref="B2:Y103"/>
  <sheetViews>
    <sheetView showGridLines="0" workbookViewId="0"/>
  </sheetViews>
  <sheetFormatPr baseColWidth="10" defaultColWidth="11.42578125" defaultRowHeight="15" customHeight="1" x14ac:dyDescent="0.25"/>
  <cols>
    <col min="1" max="1" width="12.7109375" style="1" customWidth="1"/>
    <col min="2" max="2" width="20.5703125" style="1" customWidth="1"/>
    <col min="3" max="3" width="15.7109375" style="1" customWidth="1"/>
    <col min="4" max="4" width="25.7109375" style="1" customWidth="1"/>
    <col min="5" max="5" width="35.7109375" style="1" customWidth="1"/>
    <col min="6" max="6" width="10.7109375" style="1" customWidth="1"/>
    <col min="7" max="25" width="12.7109375" style="1" customWidth="1"/>
    <col min="26" max="16384" width="11.42578125" style="1"/>
  </cols>
  <sheetData>
    <row r="2" spans="2:25" ht="84.95" customHeight="1" x14ac:dyDescent="0.25">
      <c r="B2" s="89" t="s">
        <v>59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2:25" ht="15" customHeight="1" x14ac:dyDescent="0.25">
      <c r="B3" s="90" t="str">
        <f>INICIO!C$8</f>
        <v>PERIODO: ENERO A NOVIEMBRE - 2025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</row>
    <row r="4" spans="2:25" ht="15" customHeight="1" thickBot="1" x14ac:dyDescent="0.3"/>
    <row r="5" spans="2:25" ht="15" customHeight="1" thickBot="1" x14ac:dyDescent="0.3">
      <c r="B5" s="92" t="s">
        <v>50</v>
      </c>
      <c r="C5" s="92" t="s">
        <v>0</v>
      </c>
      <c r="D5" s="92" t="s">
        <v>5</v>
      </c>
      <c r="E5" s="92" t="s">
        <v>6</v>
      </c>
      <c r="F5" s="92" t="s">
        <v>7</v>
      </c>
      <c r="G5" s="91" t="s">
        <v>11</v>
      </c>
      <c r="H5" s="91"/>
      <c r="I5" s="91"/>
      <c r="J5" s="91"/>
      <c r="K5" s="91"/>
      <c r="L5" s="91"/>
      <c r="M5" s="91" t="s">
        <v>12</v>
      </c>
      <c r="N5" s="91"/>
      <c r="O5" s="91"/>
      <c r="P5" s="91" t="s">
        <v>14</v>
      </c>
      <c r="Q5" s="91"/>
      <c r="R5" s="91"/>
      <c r="S5" s="91"/>
      <c r="T5" s="91"/>
      <c r="U5" s="91"/>
      <c r="V5" s="91"/>
      <c r="W5" s="91"/>
      <c r="X5" s="91"/>
      <c r="Y5" s="91"/>
    </row>
    <row r="6" spans="2:25" ht="15" customHeight="1" thickBot="1" x14ac:dyDescent="0.3">
      <c r="B6" s="92"/>
      <c r="C6" s="92"/>
      <c r="D6" s="92"/>
      <c r="E6" s="92"/>
      <c r="F6" s="92"/>
      <c r="G6" s="91" t="s">
        <v>10</v>
      </c>
      <c r="H6" s="91" t="s">
        <v>9</v>
      </c>
      <c r="I6" s="91"/>
      <c r="J6" s="96" t="s">
        <v>10</v>
      </c>
      <c r="K6" s="95" t="s">
        <v>20</v>
      </c>
      <c r="L6" s="94"/>
      <c r="M6" s="91" t="s">
        <v>10</v>
      </c>
      <c r="N6" s="91" t="s">
        <v>13</v>
      </c>
      <c r="O6" s="91"/>
      <c r="P6" s="91" t="s">
        <v>10</v>
      </c>
      <c r="Q6" s="91" t="s">
        <v>15</v>
      </c>
      <c r="R6" s="91"/>
      <c r="S6" s="91" t="s">
        <v>10</v>
      </c>
      <c r="T6" s="93" t="s">
        <v>41</v>
      </c>
      <c r="U6" s="94"/>
      <c r="V6" s="91" t="s">
        <v>3</v>
      </c>
      <c r="W6" s="91"/>
      <c r="X6" s="91" t="s">
        <v>4</v>
      </c>
      <c r="Y6" s="91"/>
    </row>
    <row r="7" spans="2:25" ht="30" customHeight="1" thickBot="1" x14ac:dyDescent="0.3">
      <c r="B7" s="92"/>
      <c r="C7" s="92"/>
      <c r="D7" s="92"/>
      <c r="E7" s="92"/>
      <c r="F7" s="92"/>
      <c r="G7" s="91"/>
      <c r="H7" s="9" t="s">
        <v>1</v>
      </c>
      <c r="I7" s="9" t="s">
        <v>2</v>
      </c>
      <c r="J7" s="97"/>
      <c r="K7" s="9" t="s">
        <v>1</v>
      </c>
      <c r="L7" s="9" t="s">
        <v>2</v>
      </c>
      <c r="M7" s="91"/>
      <c r="N7" s="9" t="s">
        <v>1</v>
      </c>
      <c r="O7" s="9" t="s">
        <v>2</v>
      </c>
      <c r="P7" s="91"/>
      <c r="Q7" s="9" t="s">
        <v>1</v>
      </c>
      <c r="R7" s="9" t="s">
        <v>2</v>
      </c>
      <c r="S7" s="91"/>
      <c r="T7" s="9" t="s">
        <v>1</v>
      </c>
      <c r="U7" s="9" t="s">
        <v>2</v>
      </c>
      <c r="V7" s="9" t="s">
        <v>1</v>
      </c>
      <c r="W7" s="9" t="s">
        <v>2</v>
      </c>
      <c r="X7" s="9" t="s">
        <v>1</v>
      </c>
      <c r="Y7" s="9" t="s">
        <v>2</v>
      </c>
    </row>
    <row r="8" spans="2:25" ht="15" customHeight="1" x14ac:dyDescent="0.25">
      <c r="B8" s="4" t="s">
        <v>48</v>
      </c>
      <c r="C8" s="6" t="s">
        <v>70</v>
      </c>
      <c r="D8" s="7" t="s">
        <v>71</v>
      </c>
      <c r="E8" s="6" t="s">
        <v>72</v>
      </c>
      <c r="F8" s="43">
        <v>210401</v>
      </c>
      <c r="G8" s="16">
        <f t="shared" ref="G8:G48" si="0">IFERROR(VLOOKUP($F8,distrito059,2,0),"-")</f>
        <v>986</v>
      </c>
      <c r="H8" s="24">
        <f t="shared" ref="H8:H48" si="1">IFERROR(VLOOKUP($F8,distrito059,3,0),"-")</f>
        <v>87</v>
      </c>
      <c r="I8" s="20">
        <f t="shared" ref="I8:I48" si="2">IFERROR(VLOOKUP($F8,distrito059,4,0),"-")</f>
        <v>8.8235294117647065</v>
      </c>
      <c r="J8" s="36">
        <f t="shared" ref="J8:J48" si="3">IFERROR(VLOOKUP($F8,distrito059,5,0),"-")</f>
        <v>899</v>
      </c>
      <c r="K8" s="24">
        <f t="shared" ref="K8:K48" si="4">IFERROR(VLOOKUP($F8,distrito059,6,0),"-")</f>
        <v>342</v>
      </c>
      <c r="L8" s="20">
        <f t="shared" ref="L8:L48" si="5">IFERROR(VLOOKUP($F8,distrito059,7,0),"-")</f>
        <v>38.042269187986648</v>
      </c>
      <c r="M8" s="16">
        <f t="shared" ref="M8:M48" si="6">IFERROR(VLOOKUP($F8,distrito059,8,0),"-")</f>
        <v>986</v>
      </c>
      <c r="N8" s="24">
        <f t="shared" ref="N8:N48" si="7">IFERROR(VLOOKUP($F8,distrito059,9,0),"-")</f>
        <v>15</v>
      </c>
      <c r="O8" s="28">
        <f t="shared" ref="O8:O48" si="8">IFERROR(VLOOKUP($F8,distrito059,10,0),"-")</f>
        <v>1.5212981744421907</v>
      </c>
      <c r="P8" s="16">
        <f t="shared" ref="P8:P48" si="9">IFERROR(VLOOKUP($F8,distrito059,11,0),"-")</f>
        <v>986</v>
      </c>
      <c r="Q8" s="24">
        <f t="shared" ref="Q8:Q48" si="10">IFERROR(VLOOKUP($F8,distrito059,12,0),"-")</f>
        <v>12</v>
      </c>
      <c r="R8" s="29">
        <f t="shared" ref="R8:R48" si="11">IFERROR(VLOOKUP($F8,distrito059,13,0),"-")</f>
        <v>1.2170385395537524</v>
      </c>
      <c r="S8" s="72">
        <f t="shared" ref="S8:S48" si="12">IFERROR(VLOOKUP($F8,distrito059,14,0),"-")</f>
        <v>905</v>
      </c>
      <c r="T8" s="72">
        <f t="shared" ref="T8:T48" si="13">IFERROR(VLOOKUP($F8,distrito059,15,0),"-")</f>
        <v>38</v>
      </c>
      <c r="U8" s="20">
        <f t="shared" ref="U8:U48" si="14">IFERROR(VLOOKUP($F8,distrito059,16,0),"-")</f>
        <v>4.1988950276243093</v>
      </c>
      <c r="V8" s="36">
        <f t="shared" ref="V8:V48" si="15">IFERROR(VLOOKUP($F8,distrito059,17,0),"-")</f>
        <v>63</v>
      </c>
      <c r="W8" s="29">
        <f t="shared" ref="W8:W48" si="16">IFERROR(VLOOKUP($F8,distrito059,18,0),"-")</f>
        <v>6.3894523326572017</v>
      </c>
      <c r="X8" s="36">
        <f t="shared" ref="X8:X48" si="17">IFERROR(VLOOKUP($F8,distrito059,19,0),"-")</f>
        <v>6</v>
      </c>
      <c r="Y8" s="28">
        <f t="shared" ref="Y8:Y48" si="18">IFERROR(VLOOKUP($F8,distrito059,20,0),"-")</f>
        <v>0.6085192697768762</v>
      </c>
    </row>
    <row r="9" spans="2:25" ht="15" customHeight="1" x14ac:dyDescent="0.25">
      <c r="B9" s="5" t="s">
        <v>48</v>
      </c>
      <c r="C9" s="7" t="s">
        <v>70</v>
      </c>
      <c r="D9" s="7" t="s">
        <v>71</v>
      </c>
      <c r="E9" s="7" t="s">
        <v>73</v>
      </c>
      <c r="F9" s="44">
        <v>210402</v>
      </c>
      <c r="G9" s="17">
        <f t="shared" si="0"/>
        <v>516</v>
      </c>
      <c r="H9" s="25">
        <f t="shared" si="1"/>
        <v>56</v>
      </c>
      <c r="I9" s="21">
        <f t="shared" si="2"/>
        <v>10.852713178294573</v>
      </c>
      <c r="J9" s="37">
        <f t="shared" si="3"/>
        <v>460</v>
      </c>
      <c r="K9" s="25">
        <f t="shared" si="4"/>
        <v>170</v>
      </c>
      <c r="L9" s="21">
        <f t="shared" si="5"/>
        <v>36.95652173913043</v>
      </c>
      <c r="M9" s="17">
        <f t="shared" si="6"/>
        <v>516</v>
      </c>
      <c r="N9" s="25">
        <f t="shared" si="7"/>
        <v>11</v>
      </c>
      <c r="O9" s="30">
        <f t="shared" si="8"/>
        <v>2.1317829457364339</v>
      </c>
      <c r="P9" s="17">
        <f t="shared" si="9"/>
        <v>516</v>
      </c>
      <c r="Q9" s="25">
        <f t="shared" si="10"/>
        <v>2</v>
      </c>
      <c r="R9" s="31">
        <f t="shared" si="11"/>
        <v>0.38759689922480622</v>
      </c>
      <c r="S9" s="25">
        <f t="shared" si="12"/>
        <v>484</v>
      </c>
      <c r="T9" s="25">
        <f t="shared" si="13"/>
        <v>24</v>
      </c>
      <c r="U9" s="21">
        <f t="shared" si="14"/>
        <v>4.9586776859504136</v>
      </c>
      <c r="V9" s="37">
        <f t="shared" si="15"/>
        <v>28</v>
      </c>
      <c r="W9" s="31">
        <f t="shared" si="16"/>
        <v>5.4263565891472867</v>
      </c>
      <c r="X9" s="37">
        <f t="shared" si="17"/>
        <v>2</v>
      </c>
      <c r="Y9" s="30">
        <f t="shared" si="18"/>
        <v>0.38759689922480622</v>
      </c>
    </row>
    <row r="10" spans="2:25" ht="15" customHeight="1" x14ac:dyDescent="0.25">
      <c r="B10" s="5" t="s">
        <v>48</v>
      </c>
      <c r="C10" s="7" t="s">
        <v>70</v>
      </c>
      <c r="D10" s="7" t="s">
        <v>71</v>
      </c>
      <c r="E10" s="7" t="s">
        <v>74</v>
      </c>
      <c r="F10" s="44">
        <v>210404</v>
      </c>
      <c r="G10" s="17">
        <f t="shared" si="0"/>
        <v>195</v>
      </c>
      <c r="H10" s="25">
        <f t="shared" si="1"/>
        <v>27</v>
      </c>
      <c r="I10" s="21">
        <f t="shared" si="2"/>
        <v>13.846153846153847</v>
      </c>
      <c r="J10" s="37">
        <f t="shared" si="3"/>
        <v>168</v>
      </c>
      <c r="K10" s="25">
        <f t="shared" si="4"/>
        <v>75</v>
      </c>
      <c r="L10" s="21">
        <f t="shared" si="5"/>
        <v>44.642857142857146</v>
      </c>
      <c r="M10" s="17">
        <f t="shared" si="6"/>
        <v>195</v>
      </c>
      <c r="N10" s="25">
        <f t="shared" si="7"/>
        <v>4</v>
      </c>
      <c r="O10" s="30">
        <f t="shared" si="8"/>
        <v>2.0512820512820511</v>
      </c>
      <c r="P10" s="17">
        <f t="shared" si="9"/>
        <v>195</v>
      </c>
      <c r="Q10" s="25">
        <f t="shared" si="10"/>
        <v>4</v>
      </c>
      <c r="R10" s="31">
        <f t="shared" si="11"/>
        <v>2.0512820512820511</v>
      </c>
      <c r="S10" s="25">
        <f t="shared" si="12"/>
        <v>175</v>
      </c>
      <c r="T10" s="25">
        <f t="shared" si="13"/>
        <v>7</v>
      </c>
      <c r="U10" s="21">
        <f t="shared" si="14"/>
        <v>4</v>
      </c>
      <c r="V10" s="37">
        <f t="shared" si="15"/>
        <v>13</v>
      </c>
      <c r="W10" s="31">
        <f t="shared" si="16"/>
        <v>6.666666666666667</v>
      </c>
      <c r="X10" s="37">
        <f t="shared" si="17"/>
        <v>3</v>
      </c>
      <c r="Y10" s="30">
        <f t="shared" si="18"/>
        <v>1.5384615384615385</v>
      </c>
    </row>
    <row r="11" spans="2:25" ht="15" customHeight="1" x14ac:dyDescent="0.25">
      <c r="B11" s="5" t="s">
        <v>48</v>
      </c>
      <c r="C11" s="7" t="s">
        <v>70</v>
      </c>
      <c r="D11" s="7" t="s">
        <v>70</v>
      </c>
      <c r="E11" s="7" t="s">
        <v>70</v>
      </c>
      <c r="F11" s="44">
        <v>210101</v>
      </c>
      <c r="G11" s="17">
        <f t="shared" si="0"/>
        <v>4961</v>
      </c>
      <c r="H11" s="25">
        <f t="shared" si="1"/>
        <v>415</v>
      </c>
      <c r="I11" s="21">
        <f t="shared" si="2"/>
        <v>8.365248941745616</v>
      </c>
      <c r="J11" s="37">
        <f t="shared" si="3"/>
        <v>4546</v>
      </c>
      <c r="K11" s="25">
        <f t="shared" si="4"/>
        <v>1645</v>
      </c>
      <c r="L11" s="21">
        <f t="shared" si="5"/>
        <v>36.185657721073468</v>
      </c>
      <c r="M11" s="17">
        <f t="shared" si="6"/>
        <v>4961</v>
      </c>
      <c r="N11" s="25">
        <f t="shared" si="7"/>
        <v>90</v>
      </c>
      <c r="O11" s="30">
        <f t="shared" si="8"/>
        <v>1.8141503729086876</v>
      </c>
      <c r="P11" s="17">
        <f t="shared" si="9"/>
        <v>4961</v>
      </c>
      <c r="Q11" s="25">
        <f t="shared" si="10"/>
        <v>40</v>
      </c>
      <c r="R11" s="31">
        <f t="shared" si="11"/>
        <v>0.80628905462608347</v>
      </c>
      <c r="S11" s="25">
        <f t="shared" si="12"/>
        <v>4580</v>
      </c>
      <c r="T11" s="25">
        <f t="shared" si="13"/>
        <v>220</v>
      </c>
      <c r="U11" s="21">
        <f t="shared" si="14"/>
        <v>4.8034934497816595</v>
      </c>
      <c r="V11" s="37">
        <f t="shared" si="15"/>
        <v>292</v>
      </c>
      <c r="W11" s="31">
        <f t="shared" si="16"/>
        <v>5.8859100987704087</v>
      </c>
      <c r="X11" s="37">
        <f t="shared" si="17"/>
        <v>49</v>
      </c>
      <c r="Y11" s="30">
        <f t="shared" si="18"/>
        <v>0.98770409191695219</v>
      </c>
    </row>
    <row r="12" spans="2:25" ht="15" customHeight="1" x14ac:dyDescent="0.25">
      <c r="B12" s="5" t="s">
        <v>48</v>
      </c>
      <c r="C12" s="7" t="s">
        <v>70</v>
      </c>
      <c r="D12" s="7" t="s">
        <v>70</v>
      </c>
      <c r="E12" s="7" t="s">
        <v>75</v>
      </c>
      <c r="F12" s="44">
        <v>210102</v>
      </c>
      <c r="G12" s="17">
        <f t="shared" si="0"/>
        <v>1014</v>
      </c>
      <c r="H12" s="25">
        <f t="shared" si="1"/>
        <v>94</v>
      </c>
      <c r="I12" s="21">
        <f t="shared" si="2"/>
        <v>9.2702169625246551</v>
      </c>
      <c r="J12" s="37">
        <f t="shared" si="3"/>
        <v>920</v>
      </c>
      <c r="K12" s="25">
        <f t="shared" si="4"/>
        <v>357</v>
      </c>
      <c r="L12" s="21">
        <f t="shared" si="5"/>
        <v>38.804347826086953</v>
      </c>
      <c r="M12" s="17">
        <f t="shared" si="6"/>
        <v>1014</v>
      </c>
      <c r="N12" s="25">
        <f t="shared" si="7"/>
        <v>15</v>
      </c>
      <c r="O12" s="30">
        <f t="shared" si="8"/>
        <v>1.4792899408284024</v>
      </c>
      <c r="P12" s="17">
        <f t="shared" si="9"/>
        <v>1014</v>
      </c>
      <c r="Q12" s="25">
        <f t="shared" si="10"/>
        <v>7</v>
      </c>
      <c r="R12" s="31">
        <f t="shared" si="11"/>
        <v>0.69033530571992108</v>
      </c>
      <c r="S12" s="25">
        <f t="shared" si="12"/>
        <v>926</v>
      </c>
      <c r="T12" s="25">
        <f t="shared" si="13"/>
        <v>36</v>
      </c>
      <c r="U12" s="21">
        <f t="shared" si="14"/>
        <v>3.8876889848812093</v>
      </c>
      <c r="V12" s="37">
        <f t="shared" si="15"/>
        <v>71</v>
      </c>
      <c r="W12" s="31">
        <f t="shared" si="16"/>
        <v>7.001972386587771</v>
      </c>
      <c r="X12" s="37">
        <f t="shared" si="17"/>
        <v>10</v>
      </c>
      <c r="Y12" s="30">
        <f t="shared" si="18"/>
        <v>0.98619329388560162</v>
      </c>
    </row>
    <row r="13" spans="2:25" ht="15" customHeight="1" x14ac:dyDescent="0.25">
      <c r="B13" s="5" t="s">
        <v>48</v>
      </c>
      <c r="C13" s="7" t="s">
        <v>70</v>
      </c>
      <c r="D13" s="7" t="s">
        <v>70</v>
      </c>
      <c r="E13" s="7" t="s">
        <v>76</v>
      </c>
      <c r="F13" s="44">
        <v>210103</v>
      </c>
      <c r="G13" s="17">
        <f t="shared" si="0"/>
        <v>202</v>
      </c>
      <c r="H13" s="25">
        <f t="shared" si="1"/>
        <v>33</v>
      </c>
      <c r="I13" s="21">
        <f t="shared" si="2"/>
        <v>16.336633663366339</v>
      </c>
      <c r="J13" s="37">
        <f t="shared" si="3"/>
        <v>169</v>
      </c>
      <c r="K13" s="25">
        <f t="shared" si="4"/>
        <v>76</v>
      </c>
      <c r="L13" s="21">
        <f t="shared" si="5"/>
        <v>44.970414201183431</v>
      </c>
      <c r="M13" s="17">
        <f t="shared" si="6"/>
        <v>202</v>
      </c>
      <c r="N13" s="25">
        <f t="shared" si="7"/>
        <v>4</v>
      </c>
      <c r="O13" s="30">
        <f t="shared" si="8"/>
        <v>1.9801980198019802</v>
      </c>
      <c r="P13" s="17">
        <f t="shared" si="9"/>
        <v>202</v>
      </c>
      <c r="Q13" s="25">
        <f t="shared" si="10"/>
        <v>1</v>
      </c>
      <c r="R13" s="31">
        <f t="shared" si="11"/>
        <v>0.49504950495049505</v>
      </c>
      <c r="S13" s="25">
        <f t="shared" si="12"/>
        <v>185</v>
      </c>
      <c r="T13" s="25">
        <f t="shared" si="13"/>
        <v>5</v>
      </c>
      <c r="U13" s="21">
        <f t="shared" si="14"/>
        <v>2.7027027027027026</v>
      </c>
      <c r="V13" s="37">
        <f t="shared" si="15"/>
        <v>15</v>
      </c>
      <c r="W13" s="31">
        <f t="shared" si="16"/>
        <v>7.4257425742574252</v>
      </c>
      <c r="X13" s="37">
        <f t="shared" si="17"/>
        <v>1</v>
      </c>
      <c r="Y13" s="30">
        <f t="shared" si="18"/>
        <v>0.49504950495049505</v>
      </c>
    </row>
    <row r="14" spans="2:25" ht="15" customHeight="1" x14ac:dyDescent="0.25">
      <c r="B14" s="5" t="s">
        <v>48</v>
      </c>
      <c r="C14" s="7" t="s">
        <v>70</v>
      </c>
      <c r="D14" s="7" t="s">
        <v>70</v>
      </c>
      <c r="E14" s="7" t="s">
        <v>77</v>
      </c>
      <c r="F14" s="44">
        <v>210105</v>
      </c>
      <c r="G14" s="17">
        <f t="shared" si="0"/>
        <v>394</v>
      </c>
      <c r="H14" s="25">
        <f t="shared" si="1"/>
        <v>38</v>
      </c>
      <c r="I14" s="21">
        <f t="shared" si="2"/>
        <v>9.6446700507614214</v>
      </c>
      <c r="J14" s="37">
        <f t="shared" si="3"/>
        <v>356</v>
      </c>
      <c r="K14" s="25">
        <f t="shared" si="4"/>
        <v>125</v>
      </c>
      <c r="L14" s="21">
        <f t="shared" si="5"/>
        <v>35.112359550561798</v>
      </c>
      <c r="M14" s="17">
        <f t="shared" si="6"/>
        <v>394</v>
      </c>
      <c r="N14" s="25">
        <f t="shared" si="7"/>
        <v>5</v>
      </c>
      <c r="O14" s="30">
        <f t="shared" si="8"/>
        <v>1.2690355329949239</v>
      </c>
      <c r="P14" s="17">
        <f t="shared" si="9"/>
        <v>394</v>
      </c>
      <c r="Q14" s="25">
        <f t="shared" si="10"/>
        <v>0</v>
      </c>
      <c r="R14" s="31">
        <f t="shared" si="11"/>
        <v>0</v>
      </c>
      <c r="S14" s="25">
        <f t="shared" si="12"/>
        <v>368</v>
      </c>
      <c r="T14" s="25">
        <f t="shared" si="13"/>
        <v>12</v>
      </c>
      <c r="U14" s="21">
        <f t="shared" si="14"/>
        <v>3.2608695652173911</v>
      </c>
      <c r="V14" s="37">
        <f t="shared" si="15"/>
        <v>19</v>
      </c>
      <c r="W14" s="31">
        <f t="shared" si="16"/>
        <v>4.8223350253807107</v>
      </c>
      <c r="X14" s="37">
        <f t="shared" si="17"/>
        <v>7</v>
      </c>
      <c r="Y14" s="30">
        <f t="shared" si="18"/>
        <v>1.7766497461928936</v>
      </c>
    </row>
    <row r="15" spans="2:25" ht="15" customHeight="1" x14ac:dyDescent="0.25">
      <c r="B15" s="5" t="s">
        <v>48</v>
      </c>
      <c r="C15" s="7" t="s">
        <v>70</v>
      </c>
      <c r="D15" s="7" t="s">
        <v>70</v>
      </c>
      <c r="E15" s="7" t="s">
        <v>71</v>
      </c>
      <c r="F15" s="44">
        <v>210106</v>
      </c>
      <c r="G15" s="17">
        <f t="shared" si="0"/>
        <v>297</v>
      </c>
      <c r="H15" s="25">
        <f t="shared" si="1"/>
        <v>24</v>
      </c>
      <c r="I15" s="21">
        <f t="shared" si="2"/>
        <v>8.0808080808080813</v>
      </c>
      <c r="J15" s="37">
        <f t="shared" si="3"/>
        <v>273</v>
      </c>
      <c r="K15" s="25">
        <f t="shared" si="4"/>
        <v>107</v>
      </c>
      <c r="L15" s="21">
        <f t="shared" si="5"/>
        <v>39.194139194139197</v>
      </c>
      <c r="M15" s="17">
        <f t="shared" si="6"/>
        <v>297</v>
      </c>
      <c r="N15" s="25">
        <f t="shared" si="7"/>
        <v>3</v>
      </c>
      <c r="O15" s="30">
        <f t="shared" si="8"/>
        <v>1.0101010101010102</v>
      </c>
      <c r="P15" s="17">
        <f t="shared" si="9"/>
        <v>297</v>
      </c>
      <c r="Q15" s="25">
        <f t="shared" si="10"/>
        <v>0</v>
      </c>
      <c r="R15" s="31">
        <f t="shared" si="11"/>
        <v>0</v>
      </c>
      <c r="S15" s="25">
        <f t="shared" si="12"/>
        <v>269</v>
      </c>
      <c r="T15" s="25">
        <f t="shared" si="13"/>
        <v>5</v>
      </c>
      <c r="U15" s="21">
        <f t="shared" si="14"/>
        <v>1.8587360594795539</v>
      </c>
      <c r="V15" s="37">
        <f t="shared" si="15"/>
        <v>26</v>
      </c>
      <c r="W15" s="31">
        <f t="shared" si="16"/>
        <v>8.7542087542087543</v>
      </c>
      <c r="X15" s="37">
        <f t="shared" si="17"/>
        <v>2</v>
      </c>
      <c r="Y15" s="30">
        <f t="shared" si="18"/>
        <v>0.67340067340067333</v>
      </c>
    </row>
    <row r="16" spans="2:25" ht="15" customHeight="1" x14ac:dyDescent="0.25">
      <c r="B16" s="5" t="s">
        <v>48</v>
      </c>
      <c r="C16" s="7" t="s">
        <v>70</v>
      </c>
      <c r="D16" s="7" t="s">
        <v>70</v>
      </c>
      <c r="E16" s="7" t="s">
        <v>78</v>
      </c>
      <c r="F16" s="44">
        <v>210107</v>
      </c>
      <c r="G16" s="17">
        <f t="shared" si="0"/>
        <v>465</v>
      </c>
      <c r="H16" s="25">
        <f t="shared" si="1"/>
        <v>61</v>
      </c>
      <c r="I16" s="21">
        <f t="shared" si="2"/>
        <v>13.118279569892474</v>
      </c>
      <c r="J16" s="37">
        <f t="shared" si="3"/>
        <v>404</v>
      </c>
      <c r="K16" s="25">
        <f t="shared" si="4"/>
        <v>182</v>
      </c>
      <c r="L16" s="21">
        <f t="shared" si="5"/>
        <v>45.049504950495049</v>
      </c>
      <c r="M16" s="17">
        <f t="shared" si="6"/>
        <v>465</v>
      </c>
      <c r="N16" s="25">
        <f t="shared" si="7"/>
        <v>9</v>
      </c>
      <c r="O16" s="30">
        <f t="shared" si="8"/>
        <v>1.935483870967742</v>
      </c>
      <c r="P16" s="17">
        <f t="shared" si="9"/>
        <v>465</v>
      </c>
      <c r="Q16" s="25">
        <f t="shared" si="10"/>
        <v>2</v>
      </c>
      <c r="R16" s="31">
        <f t="shared" si="11"/>
        <v>0.43010752688172044</v>
      </c>
      <c r="S16" s="25">
        <f t="shared" si="12"/>
        <v>412</v>
      </c>
      <c r="T16" s="25">
        <f t="shared" si="13"/>
        <v>12</v>
      </c>
      <c r="U16" s="21">
        <f t="shared" si="14"/>
        <v>2.912621359223301</v>
      </c>
      <c r="V16" s="37">
        <f t="shared" si="15"/>
        <v>43</v>
      </c>
      <c r="W16" s="31">
        <f t="shared" si="16"/>
        <v>9.2473118279569881</v>
      </c>
      <c r="X16" s="37">
        <f t="shared" si="17"/>
        <v>8</v>
      </c>
      <c r="Y16" s="30">
        <f t="shared" si="18"/>
        <v>1.7204301075268817</v>
      </c>
    </row>
    <row r="17" spans="2:25" ht="15" customHeight="1" x14ac:dyDescent="0.25">
      <c r="B17" s="5" t="s">
        <v>48</v>
      </c>
      <c r="C17" s="7" t="s">
        <v>70</v>
      </c>
      <c r="D17" s="7" t="s">
        <v>70</v>
      </c>
      <c r="E17" s="7" t="s">
        <v>79</v>
      </c>
      <c r="F17" s="44">
        <v>210108</v>
      </c>
      <c r="G17" s="17">
        <f t="shared" si="0"/>
        <v>185</v>
      </c>
      <c r="H17" s="25">
        <f t="shared" si="1"/>
        <v>15</v>
      </c>
      <c r="I17" s="21">
        <f t="shared" si="2"/>
        <v>8.1081081081081088</v>
      </c>
      <c r="J17" s="37">
        <f t="shared" si="3"/>
        <v>170</v>
      </c>
      <c r="K17" s="25">
        <f t="shared" si="4"/>
        <v>60</v>
      </c>
      <c r="L17" s="21">
        <f t="shared" si="5"/>
        <v>35.294117647058826</v>
      </c>
      <c r="M17" s="17">
        <f t="shared" si="6"/>
        <v>185</v>
      </c>
      <c r="N17" s="25">
        <f t="shared" si="7"/>
        <v>6</v>
      </c>
      <c r="O17" s="30">
        <f t="shared" si="8"/>
        <v>3.2432432432432434</v>
      </c>
      <c r="P17" s="17">
        <f t="shared" si="9"/>
        <v>185</v>
      </c>
      <c r="Q17" s="25">
        <f t="shared" si="10"/>
        <v>3</v>
      </c>
      <c r="R17" s="31">
        <f t="shared" si="11"/>
        <v>1.6216216216216217</v>
      </c>
      <c r="S17" s="25">
        <f t="shared" si="12"/>
        <v>172</v>
      </c>
      <c r="T17" s="25">
        <f t="shared" si="13"/>
        <v>11</v>
      </c>
      <c r="U17" s="21">
        <f t="shared" si="14"/>
        <v>6.395348837209303</v>
      </c>
      <c r="V17" s="37">
        <f t="shared" si="15"/>
        <v>10</v>
      </c>
      <c r="W17" s="31">
        <f t="shared" si="16"/>
        <v>5.4054054054054053</v>
      </c>
      <c r="X17" s="37">
        <f t="shared" si="17"/>
        <v>0</v>
      </c>
      <c r="Y17" s="30">
        <f t="shared" si="18"/>
        <v>0</v>
      </c>
    </row>
    <row r="18" spans="2:25" ht="15" customHeight="1" x14ac:dyDescent="0.25">
      <c r="B18" s="5" t="s">
        <v>48</v>
      </c>
      <c r="C18" s="7" t="s">
        <v>70</v>
      </c>
      <c r="D18" s="7" t="s">
        <v>70</v>
      </c>
      <c r="E18" s="7" t="s">
        <v>80</v>
      </c>
      <c r="F18" s="44">
        <v>210110</v>
      </c>
      <c r="G18" s="17">
        <f t="shared" si="0"/>
        <v>254</v>
      </c>
      <c r="H18" s="25">
        <f t="shared" si="1"/>
        <v>22</v>
      </c>
      <c r="I18" s="21">
        <f t="shared" si="2"/>
        <v>8.6614173228346463</v>
      </c>
      <c r="J18" s="37">
        <f t="shared" si="3"/>
        <v>232</v>
      </c>
      <c r="K18" s="25">
        <f t="shared" si="4"/>
        <v>99</v>
      </c>
      <c r="L18" s="21">
        <f t="shared" si="5"/>
        <v>42.672413793103445</v>
      </c>
      <c r="M18" s="17">
        <f t="shared" si="6"/>
        <v>254</v>
      </c>
      <c r="N18" s="25">
        <f t="shared" si="7"/>
        <v>3</v>
      </c>
      <c r="O18" s="30">
        <f t="shared" si="8"/>
        <v>1.1811023622047243</v>
      </c>
      <c r="P18" s="17">
        <f t="shared" si="9"/>
        <v>254</v>
      </c>
      <c r="Q18" s="25">
        <f t="shared" si="10"/>
        <v>1</v>
      </c>
      <c r="R18" s="31">
        <f t="shared" si="11"/>
        <v>0.39370078740157477</v>
      </c>
      <c r="S18" s="25">
        <f t="shared" si="12"/>
        <v>228</v>
      </c>
      <c r="T18" s="25">
        <f t="shared" si="13"/>
        <v>9</v>
      </c>
      <c r="U18" s="21">
        <f t="shared" si="14"/>
        <v>3.9473684210526314</v>
      </c>
      <c r="V18" s="37">
        <f t="shared" si="15"/>
        <v>21</v>
      </c>
      <c r="W18" s="31">
        <f t="shared" si="16"/>
        <v>8.2677165354330722</v>
      </c>
      <c r="X18" s="37">
        <f t="shared" si="17"/>
        <v>4</v>
      </c>
      <c r="Y18" s="30">
        <f t="shared" si="18"/>
        <v>1.5748031496062991</v>
      </c>
    </row>
    <row r="19" spans="2:25" ht="15" customHeight="1" x14ac:dyDescent="0.25">
      <c r="B19" s="5" t="s">
        <v>48</v>
      </c>
      <c r="C19" s="7" t="s">
        <v>70</v>
      </c>
      <c r="D19" s="7" t="s">
        <v>70</v>
      </c>
      <c r="E19" s="7" t="s">
        <v>81</v>
      </c>
      <c r="F19" s="44">
        <v>210112</v>
      </c>
      <c r="G19" s="17">
        <f t="shared" si="0"/>
        <v>271</v>
      </c>
      <c r="H19" s="25">
        <f t="shared" si="1"/>
        <v>25</v>
      </c>
      <c r="I19" s="21">
        <f t="shared" si="2"/>
        <v>9.2250922509225095</v>
      </c>
      <c r="J19" s="37">
        <f t="shared" si="3"/>
        <v>246</v>
      </c>
      <c r="K19" s="25">
        <f t="shared" si="4"/>
        <v>88</v>
      </c>
      <c r="L19" s="21">
        <f t="shared" si="5"/>
        <v>35.772357723577237</v>
      </c>
      <c r="M19" s="17">
        <f t="shared" si="6"/>
        <v>271</v>
      </c>
      <c r="N19" s="25">
        <f t="shared" si="7"/>
        <v>3</v>
      </c>
      <c r="O19" s="30">
        <f t="shared" si="8"/>
        <v>1.107011070110701</v>
      </c>
      <c r="P19" s="17">
        <f t="shared" si="9"/>
        <v>271</v>
      </c>
      <c r="Q19" s="25">
        <f t="shared" si="10"/>
        <v>2</v>
      </c>
      <c r="R19" s="31">
        <f t="shared" si="11"/>
        <v>0.73800738007380073</v>
      </c>
      <c r="S19" s="25">
        <f t="shared" si="12"/>
        <v>248</v>
      </c>
      <c r="T19" s="25">
        <f t="shared" si="13"/>
        <v>10</v>
      </c>
      <c r="U19" s="21">
        <f t="shared" si="14"/>
        <v>4.032258064516129</v>
      </c>
      <c r="V19" s="37">
        <f t="shared" si="15"/>
        <v>18</v>
      </c>
      <c r="W19" s="31">
        <f t="shared" si="16"/>
        <v>6.6420664206642073</v>
      </c>
      <c r="X19" s="37">
        <f t="shared" si="17"/>
        <v>3</v>
      </c>
      <c r="Y19" s="30">
        <f t="shared" si="18"/>
        <v>1.107011070110701</v>
      </c>
    </row>
    <row r="20" spans="2:25" ht="15" customHeight="1" x14ac:dyDescent="0.25">
      <c r="B20" s="5" t="s">
        <v>48</v>
      </c>
      <c r="C20" s="7" t="s">
        <v>70</v>
      </c>
      <c r="D20" s="7" t="s">
        <v>71</v>
      </c>
      <c r="E20" s="7" t="s">
        <v>82</v>
      </c>
      <c r="F20" s="44">
        <v>210405</v>
      </c>
      <c r="G20" s="17">
        <f t="shared" si="0"/>
        <v>114</v>
      </c>
      <c r="H20" s="25">
        <f t="shared" si="1"/>
        <v>13</v>
      </c>
      <c r="I20" s="21">
        <f t="shared" si="2"/>
        <v>11.403508771929824</v>
      </c>
      <c r="J20" s="37">
        <f t="shared" si="3"/>
        <v>101</v>
      </c>
      <c r="K20" s="25">
        <f t="shared" si="4"/>
        <v>38</v>
      </c>
      <c r="L20" s="21">
        <f t="shared" si="5"/>
        <v>37.623762376237622</v>
      </c>
      <c r="M20" s="17">
        <f t="shared" si="6"/>
        <v>114</v>
      </c>
      <c r="N20" s="25">
        <f t="shared" si="7"/>
        <v>3</v>
      </c>
      <c r="O20" s="30">
        <f t="shared" si="8"/>
        <v>2.6315789473684208</v>
      </c>
      <c r="P20" s="17">
        <f t="shared" si="9"/>
        <v>114</v>
      </c>
      <c r="Q20" s="25">
        <f t="shared" si="10"/>
        <v>2</v>
      </c>
      <c r="R20" s="31">
        <f t="shared" si="11"/>
        <v>1.7543859649122806</v>
      </c>
      <c r="S20" s="25">
        <f t="shared" si="12"/>
        <v>104</v>
      </c>
      <c r="T20" s="25">
        <f t="shared" si="13"/>
        <v>7</v>
      </c>
      <c r="U20" s="21">
        <f t="shared" si="14"/>
        <v>6.7307692307692308</v>
      </c>
      <c r="V20" s="37">
        <f t="shared" si="15"/>
        <v>7</v>
      </c>
      <c r="W20" s="31">
        <f t="shared" si="16"/>
        <v>6.140350877192982</v>
      </c>
      <c r="X20" s="37">
        <f t="shared" si="17"/>
        <v>1</v>
      </c>
      <c r="Y20" s="30">
        <f t="shared" si="18"/>
        <v>0.8771929824561403</v>
      </c>
    </row>
    <row r="21" spans="2:25" ht="15" customHeight="1" x14ac:dyDescent="0.25">
      <c r="B21" s="5" t="s">
        <v>48</v>
      </c>
      <c r="C21" s="7" t="s">
        <v>70</v>
      </c>
      <c r="D21" s="7" t="s">
        <v>71</v>
      </c>
      <c r="E21" s="7" t="s">
        <v>83</v>
      </c>
      <c r="F21" s="44">
        <v>210406</v>
      </c>
      <c r="G21" s="17">
        <f t="shared" si="0"/>
        <v>468</v>
      </c>
      <c r="H21" s="25">
        <f t="shared" si="1"/>
        <v>45</v>
      </c>
      <c r="I21" s="21">
        <f t="shared" si="2"/>
        <v>9.6153846153846168</v>
      </c>
      <c r="J21" s="37">
        <f t="shared" si="3"/>
        <v>423</v>
      </c>
      <c r="K21" s="25">
        <f t="shared" si="4"/>
        <v>151</v>
      </c>
      <c r="L21" s="21">
        <f t="shared" si="5"/>
        <v>35.697399527186761</v>
      </c>
      <c r="M21" s="17">
        <f t="shared" si="6"/>
        <v>468</v>
      </c>
      <c r="N21" s="25">
        <f t="shared" si="7"/>
        <v>8</v>
      </c>
      <c r="O21" s="30">
        <f t="shared" si="8"/>
        <v>1.7094017094017095</v>
      </c>
      <c r="P21" s="17">
        <f t="shared" si="9"/>
        <v>468</v>
      </c>
      <c r="Q21" s="25">
        <f t="shared" si="10"/>
        <v>3</v>
      </c>
      <c r="R21" s="31">
        <f t="shared" si="11"/>
        <v>0.64102564102564097</v>
      </c>
      <c r="S21" s="25">
        <f t="shared" si="12"/>
        <v>416</v>
      </c>
      <c r="T21" s="25">
        <f t="shared" si="13"/>
        <v>11</v>
      </c>
      <c r="U21" s="21">
        <f t="shared" si="14"/>
        <v>2.6442307692307692</v>
      </c>
      <c r="V21" s="37">
        <f t="shared" si="15"/>
        <v>45</v>
      </c>
      <c r="W21" s="31">
        <f t="shared" si="16"/>
        <v>9.6153846153846168</v>
      </c>
      <c r="X21" s="37">
        <f t="shared" si="17"/>
        <v>4</v>
      </c>
      <c r="Y21" s="30">
        <f t="shared" si="18"/>
        <v>0.85470085470085477</v>
      </c>
    </row>
    <row r="22" spans="2:25" ht="15" customHeight="1" x14ac:dyDescent="0.25">
      <c r="B22" s="5" t="s">
        <v>48</v>
      </c>
      <c r="C22" s="7" t="s">
        <v>70</v>
      </c>
      <c r="D22" s="7" t="s">
        <v>71</v>
      </c>
      <c r="E22" s="7" t="s">
        <v>84</v>
      </c>
      <c r="F22" s="44">
        <v>210407</v>
      </c>
      <c r="G22" s="17">
        <f t="shared" si="0"/>
        <v>785</v>
      </c>
      <c r="H22" s="25">
        <f t="shared" si="1"/>
        <v>81</v>
      </c>
      <c r="I22" s="21">
        <f t="shared" si="2"/>
        <v>10.318471337579618</v>
      </c>
      <c r="J22" s="37">
        <f t="shared" si="3"/>
        <v>704</v>
      </c>
      <c r="K22" s="25">
        <f t="shared" si="4"/>
        <v>270</v>
      </c>
      <c r="L22" s="21">
        <f t="shared" si="5"/>
        <v>38.352272727272727</v>
      </c>
      <c r="M22" s="17">
        <f t="shared" si="6"/>
        <v>785</v>
      </c>
      <c r="N22" s="25">
        <f t="shared" si="7"/>
        <v>12</v>
      </c>
      <c r="O22" s="30">
        <f t="shared" si="8"/>
        <v>1.5286624203821657</v>
      </c>
      <c r="P22" s="17">
        <f t="shared" si="9"/>
        <v>785</v>
      </c>
      <c r="Q22" s="25">
        <f t="shared" si="10"/>
        <v>7</v>
      </c>
      <c r="R22" s="31">
        <f t="shared" si="11"/>
        <v>0.89171974522292996</v>
      </c>
      <c r="S22" s="25">
        <f t="shared" si="12"/>
        <v>717</v>
      </c>
      <c r="T22" s="25">
        <f t="shared" si="13"/>
        <v>26</v>
      </c>
      <c r="U22" s="21">
        <f t="shared" si="14"/>
        <v>3.626220362622036</v>
      </c>
      <c r="V22" s="37">
        <f t="shared" si="15"/>
        <v>55</v>
      </c>
      <c r="W22" s="31">
        <f t="shared" si="16"/>
        <v>7.0063694267515926</v>
      </c>
      <c r="X22" s="37">
        <f t="shared" si="17"/>
        <v>6</v>
      </c>
      <c r="Y22" s="30">
        <f t="shared" si="18"/>
        <v>0.76433121019108285</v>
      </c>
    </row>
    <row r="23" spans="2:25" ht="15" customHeight="1" x14ac:dyDescent="0.25">
      <c r="B23" s="5" t="s">
        <v>48</v>
      </c>
      <c r="C23" s="7" t="s">
        <v>70</v>
      </c>
      <c r="D23" s="7" t="s">
        <v>85</v>
      </c>
      <c r="E23" s="7" t="s">
        <v>86</v>
      </c>
      <c r="F23" s="44">
        <v>210501</v>
      </c>
      <c r="G23" s="17">
        <f t="shared" si="0"/>
        <v>2310</v>
      </c>
      <c r="H23" s="25">
        <f t="shared" si="1"/>
        <v>133</v>
      </c>
      <c r="I23" s="21">
        <f t="shared" si="2"/>
        <v>5.7575757575757578</v>
      </c>
      <c r="J23" s="37">
        <f t="shared" si="3"/>
        <v>2177</v>
      </c>
      <c r="K23" s="25">
        <f t="shared" si="4"/>
        <v>703</v>
      </c>
      <c r="L23" s="21">
        <f t="shared" si="5"/>
        <v>32.292145153881492</v>
      </c>
      <c r="M23" s="17">
        <f t="shared" si="6"/>
        <v>2310</v>
      </c>
      <c r="N23" s="25">
        <f t="shared" si="7"/>
        <v>22</v>
      </c>
      <c r="O23" s="30">
        <f t="shared" si="8"/>
        <v>0.95238095238095244</v>
      </c>
      <c r="P23" s="17">
        <f t="shared" si="9"/>
        <v>2310</v>
      </c>
      <c r="Q23" s="25">
        <f t="shared" si="10"/>
        <v>11</v>
      </c>
      <c r="R23" s="31">
        <f t="shared" si="11"/>
        <v>0.47619047619047622</v>
      </c>
      <c r="S23" s="25">
        <f t="shared" si="12"/>
        <v>2120</v>
      </c>
      <c r="T23" s="25">
        <f t="shared" si="13"/>
        <v>44</v>
      </c>
      <c r="U23" s="21">
        <f t="shared" si="14"/>
        <v>2.0754716981132075</v>
      </c>
      <c r="V23" s="37">
        <f t="shared" si="15"/>
        <v>157</v>
      </c>
      <c r="W23" s="31">
        <f t="shared" si="16"/>
        <v>6.7965367965367962</v>
      </c>
      <c r="X23" s="37">
        <f t="shared" si="17"/>
        <v>22</v>
      </c>
      <c r="Y23" s="30">
        <f t="shared" si="18"/>
        <v>0.95238095238095244</v>
      </c>
    </row>
    <row r="24" spans="2:25" ht="15" customHeight="1" x14ac:dyDescent="0.25">
      <c r="B24" s="5" t="s">
        <v>48</v>
      </c>
      <c r="C24" s="7" t="s">
        <v>70</v>
      </c>
      <c r="D24" s="7" t="s">
        <v>85</v>
      </c>
      <c r="E24" s="7" t="s">
        <v>87</v>
      </c>
      <c r="F24" s="44">
        <v>210502</v>
      </c>
      <c r="G24" s="17">
        <f t="shared" si="0"/>
        <v>40</v>
      </c>
      <c r="H24" s="25">
        <f t="shared" si="1"/>
        <v>5</v>
      </c>
      <c r="I24" s="21">
        <f t="shared" si="2"/>
        <v>12.5</v>
      </c>
      <c r="J24" s="37">
        <f t="shared" si="3"/>
        <v>35</v>
      </c>
      <c r="K24" s="25">
        <f t="shared" si="4"/>
        <v>14</v>
      </c>
      <c r="L24" s="21">
        <f t="shared" si="5"/>
        <v>40</v>
      </c>
      <c r="M24" s="17">
        <f t="shared" si="6"/>
        <v>40</v>
      </c>
      <c r="N24" s="25">
        <f t="shared" si="7"/>
        <v>1</v>
      </c>
      <c r="O24" s="30">
        <f t="shared" si="8"/>
        <v>2.5</v>
      </c>
      <c r="P24" s="17">
        <f t="shared" si="9"/>
        <v>40</v>
      </c>
      <c r="Q24" s="25">
        <f t="shared" si="10"/>
        <v>0</v>
      </c>
      <c r="R24" s="31">
        <f t="shared" si="11"/>
        <v>0</v>
      </c>
      <c r="S24" s="25">
        <f t="shared" si="12"/>
        <v>36</v>
      </c>
      <c r="T24" s="25">
        <f t="shared" si="13"/>
        <v>1</v>
      </c>
      <c r="U24" s="21">
        <f t="shared" si="14"/>
        <v>2.7777777777777777</v>
      </c>
      <c r="V24" s="37">
        <f t="shared" si="15"/>
        <v>3</v>
      </c>
      <c r="W24" s="31">
        <f t="shared" si="16"/>
        <v>7.5</v>
      </c>
      <c r="X24" s="37">
        <f t="shared" si="17"/>
        <v>1</v>
      </c>
      <c r="Y24" s="30">
        <f t="shared" si="18"/>
        <v>2.5</v>
      </c>
    </row>
    <row r="25" spans="2:25" ht="15" customHeight="1" x14ac:dyDescent="0.25">
      <c r="B25" s="5" t="s">
        <v>48</v>
      </c>
      <c r="C25" s="7" t="s">
        <v>70</v>
      </c>
      <c r="D25" s="7" t="s">
        <v>85</v>
      </c>
      <c r="E25" s="7" t="s">
        <v>88</v>
      </c>
      <c r="F25" s="44">
        <v>210503</v>
      </c>
      <c r="G25" s="17">
        <f t="shared" si="0"/>
        <v>305</v>
      </c>
      <c r="H25" s="25">
        <f t="shared" si="1"/>
        <v>18</v>
      </c>
      <c r="I25" s="21">
        <f t="shared" si="2"/>
        <v>5.9016393442622954</v>
      </c>
      <c r="J25" s="37">
        <f t="shared" si="3"/>
        <v>287</v>
      </c>
      <c r="K25" s="25">
        <f t="shared" si="4"/>
        <v>97</v>
      </c>
      <c r="L25" s="21">
        <f t="shared" si="5"/>
        <v>33.797909407665507</v>
      </c>
      <c r="M25" s="17">
        <f t="shared" si="6"/>
        <v>305</v>
      </c>
      <c r="N25" s="25">
        <f t="shared" si="7"/>
        <v>1</v>
      </c>
      <c r="O25" s="30">
        <f t="shared" si="8"/>
        <v>0.32786885245901637</v>
      </c>
      <c r="P25" s="17">
        <f t="shared" si="9"/>
        <v>305</v>
      </c>
      <c r="Q25" s="25">
        <f t="shared" si="10"/>
        <v>1</v>
      </c>
      <c r="R25" s="31">
        <f t="shared" si="11"/>
        <v>0.32786885245901637</v>
      </c>
      <c r="S25" s="25">
        <f t="shared" si="12"/>
        <v>279</v>
      </c>
      <c r="T25" s="25">
        <f t="shared" si="13"/>
        <v>10</v>
      </c>
      <c r="U25" s="21">
        <f t="shared" si="14"/>
        <v>3.5842293906810032</v>
      </c>
      <c r="V25" s="37">
        <f t="shared" si="15"/>
        <v>23</v>
      </c>
      <c r="W25" s="31">
        <f t="shared" si="16"/>
        <v>7.5409836065573774</v>
      </c>
      <c r="X25" s="37">
        <f t="shared" si="17"/>
        <v>2</v>
      </c>
      <c r="Y25" s="30">
        <f t="shared" si="18"/>
        <v>0.65573770491803274</v>
      </c>
    </row>
    <row r="26" spans="2:25" ht="15" customHeight="1" x14ac:dyDescent="0.25">
      <c r="B26" s="5" t="s">
        <v>48</v>
      </c>
      <c r="C26" s="7" t="s">
        <v>70</v>
      </c>
      <c r="D26" s="7" t="s">
        <v>89</v>
      </c>
      <c r="E26" s="7" t="s">
        <v>89</v>
      </c>
      <c r="F26" s="44">
        <v>210601</v>
      </c>
      <c r="G26" s="17">
        <f t="shared" si="0"/>
        <v>1084</v>
      </c>
      <c r="H26" s="25">
        <f t="shared" si="1"/>
        <v>127</v>
      </c>
      <c r="I26" s="21">
        <f t="shared" si="2"/>
        <v>11.715867158671585</v>
      </c>
      <c r="J26" s="37">
        <f t="shared" si="3"/>
        <v>957</v>
      </c>
      <c r="K26" s="25">
        <f t="shared" si="4"/>
        <v>350</v>
      </c>
      <c r="L26" s="21">
        <f t="shared" si="5"/>
        <v>36.572622779519328</v>
      </c>
      <c r="M26" s="17">
        <f t="shared" si="6"/>
        <v>1084</v>
      </c>
      <c r="N26" s="25">
        <f t="shared" si="7"/>
        <v>26</v>
      </c>
      <c r="O26" s="30">
        <f t="shared" si="8"/>
        <v>2.3985239852398523</v>
      </c>
      <c r="P26" s="17">
        <f t="shared" si="9"/>
        <v>1084</v>
      </c>
      <c r="Q26" s="25">
        <f t="shared" si="10"/>
        <v>13</v>
      </c>
      <c r="R26" s="31">
        <f t="shared" si="11"/>
        <v>1.1992619926199262</v>
      </c>
      <c r="S26" s="25">
        <f t="shared" si="12"/>
        <v>974</v>
      </c>
      <c r="T26" s="25">
        <f t="shared" si="13"/>
        <v>39</v>
      </c>
      <c r="U26" s="21">
        <f t="shared" si="14"/>
        <v>4.0041067761806977</v>
      </c>
      <c r="V26" s="37">
        <f t="shared" si="15"/>
        <v>79</v>
      </c>
      <c r="W26" s="31">
        <f t="shared" si="16"/>
        <v>7.2878228782287824</v>
      </c>
      <c r="X26" s="37">
        <f t="shared" si="17"/>
        <v>18</v>
      </c>
      <c r="Y26" s="30">
        <f t="shared" si="18"/>
        <v>1.6605166051660518</v>
      </c>
    </row>
    <row r="27" spans="2:25" ht="15" customHeight="1" x14ac:dyDescent="0.25">
      <c r="B27" s="5" t="s">
        <v>48</v>
      </c>
      <c r="C27" s="7" t="s">
        <v>70</v>
      </c>
      <c r="D27" s="7" t="s">
        <v>89</v>
      </c>
      <c r="E27" s="7" t="s">
        <v>90</v>
      </c>
      <c r="F27" s="44">
        <v>210602</v>
      </c>
      <c r="G27" s="17">
        <f t="shared" si="0"/>
        <v>193</v>
      </c>
      <c r="H27" s="25">
        <f t="shared" si="1"/>
        <v>40</v>
      </c>
      <c r="I27" s="21">
        <f t="shared" si="2"/>
        <v>20.725388601036268</v>
      </c>
      <c r="J27" s="37">
        <f t="shared" si="3"/>
        <v>153</v>
      </c>
      <c r="K27" s="25">
        <f t="shared" si="4"/>
        <v>88</v>
      </c>
      <c r="L27" s="21">
        <f t="shared" si="5"/>
        <v>57.51633986928104</v>
      </c>
      <c r="M27" s="17">
        <f t="shared" si="6"/>
        <v>193</v>
      </c>
      <c r="N27" s="25">
        <f t="shared" si="7"/>
        <v>6</v>
      </c>
      <c r="O27" s="30">
        <f t="shared" si="8"/>
        <v>3.1088082901554404</v>
      </c>
      <c r="P27" s="17">
        <f t="shared" si="9"/>
        <v>193</v>
      </c>
      <c r="Q27" s="25">
        <f t="shared" si="10"/>
        <v>0</v>
      </c>
      <c r="R27" s="31">
        <f t="shared" si="11"/>
        <v>0</v>
      </c>
      <c r="S27" s="25">
        <f t="shared" si="12"/>
        <v>172</v>
      </c>
      <c r="T27" s="25">
        <f t="shared" si="13"/>
        <v>7</v>
      </c>
      <c r="U27" s="21">
        <f t="shared" si="14"/>
        <v>4.0697674418604652</v>
      </c>
      <c r="V27" s="37">
        <f t="shared" si="15"/>
        <v>19</v>
      </c>
      <c r="W27" s="31">
        <f t="shared" si="16"/>
        <v>9.8445595854922274</v>
      </c>
      <c r="X27" s="37">
        <f t="shared" si="17"/>
        <v>2</v>
      </c>
      <c r="Y27" s="30">
        <f t="shared" si="18"/>
        <v>1.0362694300518136</v>
      </c>
    </row>
    <row r="28" spans="2:25" ht="15" customHeight="1" x14ac:dyDescent="0.25">
      <c r="B28" s="5" t="s">
        <v>48</v>
      </c>
      <c r="C28" s="7" t="s">
        <v>70</v>
      </c>
      <c r="D28" s="7" t="s">
        <v>89</v>
      </c>
      <c r="E28" s="7" t="s">
        <v>91</v>
      </c>
      <c r="F28" s="44">
        <v>210605</v>
      </c>
      <c r="G28" s="17">
        <f t="shared" si="0"/>
        <v>257</v>
      </c>
      <c r="H28" s="25">
        <f t="shared" si="1"/>
        <v>21</v>
      </c>
      <c r="I28" s="21">
        <f t="shared" si="2"/>
        <v>8.1712062256809332</v>
      </c>
      <c r="J28" s="37">
        <f t="shared" si="3"/>
        <v>236</v>
      </c>
      <c r="K28" s="25">
        <f t="shared" si="4"/>
        <v>93</v>
      </c>
      <c r="L28" s="21">
        <f t="shared" si="5"/>
        <v>39.406779661016948</v>
      </c>
      <c r="M28" s="17">
        <f t="shared" si="6"/>
        <v>257</v>
      </c>
      <c r="N28" s="25">
        <f t="shared" si="7"/>
        <v>2</v>
      </c>
      <c r="O28" s="30">
        <f t="shared" si="8"/>
        <v>0.77821011673151752</v>
      </c>
      <c r="P28" s="17">
        <f t="shared" si="9"/>
        <v>257</v>
      </c>
      <c r="Q28" s="25">
        <f t="shared" si="10"/>
        <v>0</v>
      </c>
      <c r="R28" s="31">
        <f t="shared" si="11"/>
        <v>0</v>
      </c>
      <c r="S28" s="25">
        <f t="shared" si="12"/>
        <v>234</v>
      </c>
      <c r="T28" s="25">
        <f t="shared" si="13"/>
        <v>5</v>
      </c>
      <c r="U28" s="21">
        <f t="shared" si="14"/>
        <v>2.1367521367521367</v>
      </c>
      <c r="V28" s="37">
        <f t="shared" si="15"/>
        <v>18</v>
      </c>
      <c r="W28" s="31">
        <f t="shared" si="16"/>
        <v>7.0038910505836576</v>
      </c>
      <c r="X28" s="37">
        <f t="shared" si="17"/>
        <v>5</v>
      </c>
      <c r="Y28" s="30">
        <f t="shared" si="18"/>
        <v>1.9455252918287937</v>
      </c>
    </row>
    <row r="29" spans="2:25" ht="15" customHeight="1" x14ac:dyDescent="0.25">
      <c r="B29" s="5" t="s">
        <v>48</v>
      </c>
      <c r="C29" s="7" t="s">
        <v>70</v>
      </c>
      <c r="D29" s="7" t="s">
        <v>89</v>
      </c>
      <c r="E29" s="7" t="s">
        <v>92</v>
      </c>
      <c r="F29" s="44">
        <v>210607</v>
      </c>
      <c r="G29" s="17">
        <f t="shared" si="0"/>
        <v>690</v>
      </c>
      <c r="H29" s="25">
        <f t="shared" si="1"/>
        <v>34</v>
      </c>
      <c r="I29" s="21">
        <f t="shared" si="2"/>
        <v>4.9275362318840585</v>
      </c>
      <c r="J29" s="37">
        <f t="shared" si="3"/>
        <v>656</v>
      </c>
      <c r="K29" s="25">
        <f t="shared" si="4"/>
        <v>148</v>
      </c>
      <c r="L29" s="21">
        <f t="shared" si="5"/>
        <v>22.560975609756099</v>
      </c>
      <c r="M29" s="17">
        <f t="shared" si="6"/>
        <v>690</v>
      </c>
      <c r="N29" s="25">
        <f t="shared" si="7"/>
        <v>6</v>
      </c>
      <c r="O29" s="30">
        <f t="shared" si="8"/>
        <v>0.86956521739130432</v>
      </c>
      <c r="P29" s="17">
        <f t="shared" si="9"/>
        <v>690</v>
      </c>
      <c r="Q29" s="25">
        <f t="shared" si="10"/>
        <v>6</v>
      </c>
      <c r="R29" s="31">
        <f t="shared" si="11"/>
        <v>0.86956521739130432</v>
      </c>
      <c r="S29" s="25">
        <f t="shared" si="12"/>
        <v>646</v>
      </c>
      <c r="T29" s="25">
        <f t="shared" si="13"/>
        <v>15</v>
      </c>
      <c r="U29" s="21">
        <f t="shared" si="14"/>
        <v>2.321981424148607</v>
      </c>
      <c r="V29" s="37">
        <f t="shared" si="15"/>
        <v>24</v>
      </c>
      <c r="W29" s="31">
        <f t="shared" si="16"/>
        <v>3.4782608695652173</v>
      </c>
      <c r="X29" s="37">
        <f t="shared" si="17"/>
        <v>14</v>
      </c>
      <c r="Y29" s="30">
        <f t="shared" si="18"/>
        <v>2.0289855072463765</v>
      </c>
    </row>
    <row r="30" spans="2:25" ht="15" customHeight="1" x14ac:dyDescent="0.25">
      <c r="B30" s="5" t="s">
        <v>48</v>
      </c>
      <c r="C30" s="7" t="s">
        <v>70</v>
      </c>
      <c r="D30" s="7" t="s">
        <v>89</v>
      </c>
      <c r="E30" s="7" t="s">
        <v>93</v>
      </c>
      <c r="F30" s="44">
        <v>210608</v>
      </c>
      <c r="G30" s="17">
        <f t="shared" si="0"/>
        <v>266</v>
      </c>
      <c r="H30" s="25">
        <f t="shared" si="1"/>
        <v>45</v>
      </c>
      <c r="I30" s="21">
        <f t="shared" si="2"/>
        <v>16.917293233082706</v>
      </c>
      <c r="J30" s="37">
        <f t="shared" si="3"/>
        <v>221</v>
      </c>
      <c r="K30" s="25">
        <f t="shared" si="4"/>
        <v>89</v>
      </c>
      <c r="L30" s="21">
        <f t="shared" si="5"/>
        <v>40.271493212669682</v>
      </c>
      <c r="M30" s="17">
        <f t="shared" si="6"/>
        <v>266</v>
      </c>
      <c r="N30" s="25">
        <f t="shared" si="7"/>
        <v>2</v>
      </c>
      <c r="O30" s="30">
        <f t="shared" si="8"/>
        <v>0.75187969924812026</v>
      </c>
      <c r="P30" s="17">
        <f t="shared" si="9"/>
        <v>266</v>
      </c>
      <c r="Q30" s="25">
        <f t="shared" si="10"/>
        <v>2</v>
      </c>
      <c r="R30" s="31">
        <f t="shared" si="11"/>
        <v>0.75187969924812026</v>
      </c>
      <c r="S30" s="25">
        <f t="shared" si="12"/>
        <v>237</v>
      </c>
      <c r="T30" s="25">
        <f t="shared" si="13"/>
        <v>10</v>
      </c>
      <c r="U30" s="21">
        <f t="shared" si="14"/>
        <v>4.2194092827004219</v>
      </c>
      <c r="V30" s="37">
        <f t="shared" si="15"/>
        <v>22</v>
      </c>
      <c r="W30" s="31">
        <f t="shared" si="16"/>
        <v>8.2706766917293226</v>
      </c>
      <c r="X30" s="37">
        <f t="shared" si="17"/>
        <v>5</v>
      </c>
      <c r="Y30" s="30">
        <f t="shared" si="18"/>
        <v>1.8796992481203008</v>
      </c>
    </row>
    <row r="31" spans="2:25" ht="15" customHeight="1" x14ac:dyDescent="0.25">
      <c r="B31" s="5" t="s">
        <v>48</v>
      </c>
      <c r="C31" s="7" t="s">
        <v>70</v>
      </c>
      <c r="D31" s="7" t="s">
        <v>94</v>
      </c>
      <c r="E31" s="7" t="s">
        <v>94</v>
      </c>
      <c r="F31" s="44">
        <v>210901</v>
      </c>
      <c r="G31" s="17">
        <f t="shared" si="0"/>
        <v>594</v>
      </c>
      <c r="H31" s="25">
        <f t="shared" si="1"/>
        <v>104</v>
      </c>
      <c r="I31" s="21">
        <f t="shared" si="2"/>
        <v>17.508417508417509</v>
      </c>
      <c r="J31" s="37">
        <f t="shared" si="3"/>
        <v>490</v>
      </c>
      <c r="K31" s="25">
        <f t="shared" si="4"/>
        <v>206</v>
      </c>
      <c r="L31" s="21">
        <f t="shared" si="5"/>
        <v>42.04081632653061</v>
      </c>
      <c r="M31" s="17">
        <f t="shared" si="6"/>
        <v>594</v>
      </c>
      <c r="N31" s="25">
        <f t="shared" si="7"/>
        <v>8</v>
      </c>
      <c r="O31" s="30">
        <f t="shared" si="8"/>
        <v>1.3468013468013467</v>
      </c>
      <c r="P31" s="17">
        <f t="shared" si="9"/>
        <v>594</v>
      </c>
      <c r="Q31" s="25">
        <f t="shared" si="10"/>
        <v>7</v>
      </c>
      <c r="R31" s="31">
        <f t="shared" si="11"/>
        <v>1.1784511784511784</v>
      </c>
      <c r="S31" s="25">
        <f t="shared" si="12"/>
        <v>523</v>
      </c>
      <c r="T31" s="25">
        <f t="shared" si="13"/>
        <v>25</v>
      </c>
      <c r="U31" s="21">
        <f t="shared" si="14"/>
        <v>4.7801147227533463</v>
      </c>
      <c r="V31" s="37">
        <f t="shared" si="15"/>
        <v>45</v>
      </c>
      <c r="W31" s="31">
        <f t="shared" si="16"/>
        <v>7.5757575757575761</v>
      </c>
      <c r="X31" s="37">
        <f t="shared" si="17"/>
        <v>19</v>
      </c>
      <c r="Y31" s="30">
        <f t="shared" si="18"/>
        <v>3.1986531986531985</v>
      </c>
    </row>
    <row r="32" spans="2:25" ht="15" customHeight="1" x14ac:dyDescent="0.25">
      <c r="B32" s="5" t="s">
        <v>48</v>
      </c>
      <c r="C32" s="7" t="s">
        <v>70</v>
      </c>
      <c r="D32" s="7" t="s">
        <v>94</v>
      </c>
      <c r="E32" s="7" t="s">
        <v>95</v>
      </c>
      <c r="F32" s="44">
        <v>210902</v>
      </c>
      <c r="G32" s="17">
        <f t="shared" si="0"/>
        <v>119</v>
      </c>
      <c r="H32" s="25">
        <f t="shared" si="1"/>
        <v>16</v>
      </c>
      <c r="I32" s="21">
        <f t="shared" si="2"/>
        <v>13.445378151260504</v>
      </c>
      <c r="J32" s="37">
        <f t="shared" si="3"/>
        <v>103</v>
      </c>
      <c r="K32" s="25">
        <f t="shared" si="4"/>
        <v>43</v>
      </c>
      <c r="L32" s="21">
        <f t="shared" si="5"/>
        <v>41.747572815533978</v>
      </c>
      <c r="M32" s="17">
        <f t="shared" si="6"/>
        <v>119</v>
      </c>
      <c r="N32" s="25">
        <f t="shared" si="7"/>
        <v>0</v>
      </c>
      <c r="O32" s="30">
        <f t="shared" si="8"/>
        <v>0</v>
      </c>
      <c r="P32" s="17">
        <f t="shared" si="9"/>
        <v>119</v>
      </c>
      <c r="Q32" s="25">
        <f t="shared" si="10"/>
        <v>0</v>
      </c>
      <c r="R32" s="31">
        <f t="shared" si="11"/>
        <v>0</v>
      </c>
      <c r="S32" s="25">
        <f t="shared" si="12"/>
        <v>114</v>
      </c>
      <c r="T32" s="25">
        <f t="shared" si="13"/>
        <v>2</v>
      </c>
      <c r="U32" s="21">
        <f t="shared" si="14"/>
        <v>1.7543859649122806</v>
      </c>
      <c r="V32" s="37">
        <f t="shared" si="15"/>
        <v>3</v>
      </c>
      <c r="W32" s="31">
        <f t="shared" si="16"/>
        <v>2.5210084033613445</v>
      </c>
      <c r="X32" s="37">
        <f t="shared" si="17"/>
        <v>2</v>
      </c>
      <c r="Y32" s="30">
        <f t="shared" si="18"/>
        <v>1.680672268907563</v>
      </c>
    </row>
    <row r="33" spans="2:25" ht="15" customHeight="1" x14ac:dyDescent="0.25">
      <c r="B33" s="5" t="s">
        <v>48</v>
      </c>
      <c r="C33" s="7" t="s">
        <v>70</v>
      </c>
      <c r="D33" s="7" t="s">
        <v>94</v>
      </c>
      <c r="E33" s="7" t="s">
        <v>96</v>
      </c>
      <c r="F33" s="44">
        <v>210903</v>
      </c>
      <c r="G33" s="17">
        <f t="shared" si="0"/>
        <v>142</v>
      </c>
      <c r="H33" s="25">
        <f t="shared" si="1"/>
        <v>37</v>
      </c>
      <c r="I33" s="21">
        <f t="shared" si="2"/>
        <v>26.056338028169012</v>
      </c>
      <c r="J33" s="37">
        <f t="shared" si="3"/>
        <v>105</v>
      </c>
      <c r="K33" s="25">
        <f t="shared" si="4"/>
        <v>57</v>
      </c>
      <c r="L33" s="21">
        <f t="shared" si="5"/>
        <v>54.285714285714285</v>
      </c>
      <c r="M33" s="17">
        <f t="shared" si="6"/>
        <v>142</v>
      </c>
      <c r="N33" s="25">
        <f t="shared" si="7"/>
        <v>8</v>
      </c>
      <c r="O33" s="30">
        <f t="shared" si="8"/>
        <v>5.6338028169014089</v>
      </c>
      <c r="P33" s="17">
        <f t="shared" si="9"/>
        <v>142</v>
      </c>
      <c r="Q33" s="25">
        <f t="shared" si="10"/>
        <v>3</v>
      </c>
      <c r="R33" s="31">
        <f t="shared" si="11"/>
        <v>2.112676056338028</v>
      </c>
      <c r="S33" s="25">
        <f t="shared" si="12"/>
        <v>125</v>
      </c>
      <c r="T33" s="25">
        <f t="shared" si="13"/>
        <v>4</v>
      </c>
      <c r="U33" s="21">
        <f t="shared" si="14"/>
        <v>3.2</v>
      </c>
      <c r="V33" s="37">
        <f t="shared" si="15"/>
        <v>13</v>
      </c>
      <c r="W33" s="31">
        <f t="shared" si="16"/>
        <v>9.1549295774647899</v>
      </c>
      <c r="X33" s="37">
        <f t="shared" si="17"/>
        <v>1</v>
      </c>
      <c r="Y33" s="30">
        <f t="shared" si="18"/>
        <v>0.70422535211267612</v>
      </c>
    </row>
    <row r="34" spans="2:25" ht="15" customHeight="1" x14ac:dyDescent="0.25">
      <c r="B34" s="5" t="s">
        <v>48</v>
      </c>
      <c r="C34" s="7" t="s">
        <v>70</v>
      </c>
      <c r="D34" s="7" t="s">
        <v>94</v>
      </c>
      <c r="E34" s="7" t="s">
        <v>97</v>
      </c>
      <c r="F34" s="44">
        <v>210904</v>
      </c>
      <c r="G34" s="17">
        <f t="shared" si="0"/>
        <v>124</v>
      </c>
      <c r="H34" s="25">
        <f t="shared" si="1"/>
        <v>15</v>
      </c>
      <c r="I34" s="21">
        <f t="shared" si="2"/>
        <v>12.096774193548388</v>
      </c>
      <c r="J34" s="37">
        <f t="shared" si="3"/>
        <v>109</v>
      </c>
      <c r="K34" s="25">
        <f t="shared" si="4"/>
        <v>42</v>
      </c>
      <c r="L34" s="21">
        <f t="shared" si="5"/>
        <v>38.532110091743121</v>
      </c>
      <c r="M34" s="17">
        <f t="shared" si="6"/>
        <v>124</v>
      </c>
      <c r="N34" s="25">
        <f t="shared" si="7"/>
        <v>2</v>
      </c>
      <c r="O34" s="30">
        <f t="shared" si="8"/>
        <v>1.6129032258064515</v>
      </c>
      <c r="P34" s="17">
        <f t="shared" si="9"/>
        <v>124</v>
      </c>
      <c r="Q34" s="25">
        <f t="shared" si="10"/>
        <v>1</v>
      </c>
      <c r="R34" s="31">
        <f t="shared" si="11"/>
        <v>0.80645161290322576</v>
      </c>
      <c r="S34" s="25">
        <f t="shared" si="12"/>
        <v>113</v>
      </c>
      <c r="T34" s="25">
        <f t="shared" si="13"/>
        <v>4</v>
      </c>
      <c r="U34" s="21">
        <f t="shared" si="14"/>
        <v>3.5398230088495577</v>
      </c>
      <c r="V34" s="37">
        <f t="shared" si="15"/>
        <v>8</v>
      </c>
      <c r="W34" s="31">
        <f t="shared" si="16"/>
        <v>6.4516129032258061</v>
      </c>
      <c r="X34" s="37">
        <f t="shared" si="17"/>
        <v>2</v>
      </c>
      <c r="Y34" s="30">
        <f t="shared" si="18"/>
        <v>1.6129032258064515</v>
      </c>
    </row>
    <row r="35" spans="2:25" ht="15" customHeight="1" x14ac:dyDescent="0.25">
      <c r="B35" s="5" t="s">
        <v>48</v>
      </c>
      <c r="C35" s="7" t="s">
        <v>70</v>
      </c>
      <c r="D35" s="7" t="s">
        <v>98</v>
      </c>
      <c r="E35" s="7" t="s">
        <v>99</v>
      </c>
      <c r="F35" s="44">
        <v>211002</v>
      </c>
      <c r="G35" s="17">
        <f t="shared" si="0"/>
        <v>237</v>
      </c>
      <c r="H35" s="25">
        <f t="shared" si="1"/>
        <v>49</v>
      </c>
      <c r="I35" s="21">
        <f t="shared" si="2"/>
        <v>20.675105485232066</v>
      </c>
      <c r="J35" s="37">
        <f t="shared" si="3"/>
        <v>188</v>
      </c>
      <c r="K35" s="25">
        <f t="shared" si="4"/>
        <v>83</v>
      </c>
      <c r="L35" s="21">
        <f t="shared" si="5"/>
        <v>44.148936170212764</v>
      </c>
      <c r="M35" s="17">
        <f t="shared" si="6"/>
        <v>237</v>
      </c>
      <c r="N35" s="25">
        <f t="shared" si="7"/>
        <v>10</v>
      </c>
      <c r="O35" s="30">
        <f t="shared" si="8"/>
        <v>4.2194092827004219</v>
      </c>
      <c r="P35" s="17">
        <f t="shared" si="9"/>
        <v>237</v>
      </c>
      <c r="Q35" s="25">
        <f t="shared" si="10"/>
        <v>7</v>
      </c>
      <c r="R35" s="31">
        <f t="shared" si="11"/>
        <v>2.9535864978902953</v>
      </c>
      <c r="S35" s="25">
        <f t="shared" si="12"/>
        <v>215</v>
      </c>
      <c r="T35" s="25">
        <f t="shared" si="13"/>
        <v>12</v>
      </c>
      <c r="U35" s="21">
        <f t="shared" si="14"/>
        <v>5.5813953488372094</v>
      </c>
      <c r="V35" s="37">
        <f t="shared" si="15"/>
        <v>12</v>
      </c>
      <c r="W35" s="31">
        <f t="shared" si="16"/>
        <v>5.0632911392405067</v>
      </c>
      <c r="X35" s="37">
        <f t="shared" si="17"/>
        <v>3</v>
      </c>
      <c r="Y35" s="30">
        <f t="shared" si="18"/>
        <v>1.2658227848101267</v>
      </c>
    </row>
    <row r="36" spans="2:25" ht="15" customHeight="1" x14ac:dyDescent="0.25">
      <c r="B36" s="5" t="s">
        <v>48</v>
      </c>
      <c r="C36" s="7" t="s">
        <v>70</v>
      </c>
      <c r="D36" s="7" t="s">
        <v>98</v>
      </c>
      <c r="E36" s="7" t="s">
        <v>100</v>
      </c>
      <c r="F36" s="44">
        <v>211005</v>
      </c>
      <c r="G36" s="17">
        <f t="shared" si="0"/>
        <v>107</v>
      </c>
      <c r="H36" s="25">
        <f t="shared" si="1"/>
        <v>22</v>
      </c>
      <c r="I36" s="21">
        <f t="shared" si="2"/>
        <v>20.5607476635514</v>
      </c>
      <c r="J36" s="37">
        <f t="shared" si="3"/>
        <v>85</v>
      </c>
      <c r="K36" s="25">
        <f t="shared" si="4"/>
        <v>46</v>
      </c>
      <c r="L36" s="21">
        <f t="shared" si="5"/>
        <v>54.117647058823529</v>
      </c>
      <c r="M36" s="17">
        <f t="shared" si="6"/>
        <v>107</v>
      </c>
      <c r="N36" s="25">
        <f t="shared" si="7"/>
        <v>2</v>
      </c>
      <c r="O36" s="30">
        <f t="shared" si="8"/>
        <v>1.8691588785046727</v>
      </c>
      <c r="P36" s="17">
        <f t="shared" si="9"/>
        <v>107</v>
      </c>
      <c r="Q36" s="25">
        <f t="shared" si="10"/>
        <v>2</v>
      </c>
      <c r="R36" s="31">
        <f t="shared" si="11"/>
        <v>1.8691588785046727</v>
      </c>
      <c r="S36" s="25">
        <f t="shared" si="12"/>
        <v>88</v>
      </c>
      <c r="T36" s="25">
        <f t="shared" si="13"/>
        <v>1</v>
      </c>
      <c r="U36" s="21">
        <f t="shared" si="14"/>
        <v>1.1363636363636365</v>
      </c>
      <c r="V36" s="37">
        <f t="shared" si="15"/>
        <v>15</v>
      </c>
      <c r="W36" s="31">
        <f t="shared" si="16"/>
        <v>14.018691588785046</v>
      </c>
      <c r="X36" s="37">
        <f t="shared" si="17"/>
        <v>2</v>
      </c>
      <c r="Y36" s="30">
        <f t="shared" si="18"/>
        <v>1.8691588785046727</v>
      </c>
    </row>
    <row r="37" spans="2:25" ht="15" customHeight="1" x14ac:dyDescent="0.25">
      <c r="B37" s="5" t="s">
        <v>48</v>
      </c>
      <c r="C37" s="7" t="s">
        <v>70</v>
      </c>
      <c r="D37" s="7" t="s">
        <v>101</v>
      </c>
      <c r="E37" s="7" t="s">
        <v>102</v>
      </c>
      <c r="F37" s="44">
        <v>211207</v>
      </c>
      <c r="G37" s="17">
        <f t="shared" si="0"/>
        <v>215</v>
      </c>
      <c r="H37" s="25">
        <f t="shared" si="1"/>
        <v>14</v>
      </c>
      <c r="I37" s="21">
        <f t="shared" si="2"/>
        <v>6.5116279069767442</v>
      </c>
      <c r="J37" s="37">
        <f t="shared" si="3"/>
        <v>201</v>
      </c>
      <c r="K37" s="25">
        <f t="shared" si="4"/>
        <v>70</v>
      </c>
      <c r="L37" s="21">
        <f t="shared" si="5"/>
        <v>34.82587064676617</v>
      </c>
      <c r="M37" s="17">
        <f t="shared" si="6"/>
        <v>215</v>
      </c>
      <c r="N37" s="25">
        <f t="shared" si="7"/>
        <v>1</v>
      </c>
      <c r="O37" s="30">
        <f t="shared" si="8"/>
        <v>0.46511627906976744</v>
      </c>
      <c r="P37" s="17">
        <f t="shared" si="9"/>
        <v>215</v>
      </c>
      <c r="Q37" s="25">
        <f t="shared" si="10"/>
        <v>1</v>
      </c>
      <c r="R37" s="31">
        <f t="shared" si="11"/>
        <v>0.46511627906976744</v>
      </c>
      <c r="S37" s="25">
        <f t="shared" si="12"/>
        <v>194</v>
      </c>
      <c r="T37" s="25">
        <f t="shared" si="13"/>
        <v>6</v>
      </c>
      <c r="U37" s="21">
        <f t="shared" si="14"/>
        <v>3.0927835051546393</v>
      </c>
      <c r="V37" s="37">
        <f t="shared" si="15"/>
        <v>18</v>
      </c>
      <c r="W37" s="31">
        <f t="shared" si="16"/>
        <v>8.3720930232558146</v>
      </c>
      <c r="X37" s="37">
        <f t="shared" si="17"/>
        <v>2</v>
      </c>
      <c r="Y37" s="30">
        <f t="shared" si="18"/>
        <v>0.93023255813953487</v>
      </c>
    </row>
    <row r="38" spans="2:25" ht="15" customHeight="1" x14ac:dyDescent="0.25">
      <c r="B38" s="5" t="s">
        <v>48</v>
      </c>
      <c r="C38" s="7" t="s">
        <v>70</v>
      </c>
      <c r="D38" s="7" t="s">
        <v>101</v>
      </c>
      <c r="E38" s="7" t="s">
        <v>103</v>
      </c>
      <c r="F38" s="44">
        <v>211208</v>
      </c>
      <c r="G38" s="17">
        <f t="shared" si="0"/>
        <v>128</v>
      </c>
      <c r="H38" s="25">
        <f t="shared" si="1"/>
        <v>2</v>
      </c>
      <c r="I38" s="21">
        <f t="shared" si="2"/>
        <v>1.5625</v>
      </c>
      <c r="J38" s="37">
        <f t="shared" si="3"/>
        <v>126</v>
      </c>
      <c r="K38" s="25">
        <f t="shared" si="4"/>
        <v>27</v>
      </c>
      <c r="L38" s="21">
        <f t="shared" si="5"/>
        <v>21.428571428571427</v>
      </c>
      <c r="M38" s="17">
        <f t="shared" si="6"/>
        <v>128</v>
      </c>
      <c r="N38" s="25">
        <f t="shared" si="7"/>
        <v>2</v>
      </c>
      <c r="O38" s="30">
        <f t="shared" si="8"/>
        <v>1.5625</v>
      </c>
      <c r="P38" s="17">
        <f t="shared" si="9"/>
        <v>128</v>
      </c>
      <c r="Q38" s="25">
        <f t="shared" si="10"/>
        <v>5</v>
      </c>
      <c r="R38" s="31">
        <f t="shared" si="11"/>
        <v>3.90625</v>
      </c>
      <c r="S38" s="25">
        <f t="shared" si="12"/>
        <v>113</v>
      </c>
      <c r="T38" s="25">
        <f t="shared" si="13"/>
        <v>4</v>
      </c>
      <c r="U38" s="21">
        <f t="shared" si="14"/>
        <v>3.5398230088495577</v>
      </c>
      <c r="V38" s="37">
        <f t="shared" si="15"/>
        <v>10</v>
      </c>
      <c r="W38" s="31">
        <f t="shared" si="16"/>
        <v>7.8125</v>
      </c>
      <c r="X38" s="37">
        <f t="shared" si="17"/>
        <v>0</v>
      </c>
      <c r="Y38" s="30">
        <f t="shared" si="18"/>
        <v>0</v>
      </c>
    </row>
    <row r="39" spans="2:25" ht="15" customHeight="1" x14ac:dyDescent="0.25">
      <c r="B39" s="5" t="s">
        <v>48</v>
      </c>
      <c r="C39" s="7" t="s">
        <v>70</v>
      </c>
      <c r="D39" s="7" t="s">
        <v>101</v>
      </c>
      <c r="E39" s="7" t="s">
        <v>104</v>
      </c>
      <c r="F39" s="44">
        <v>211210</v>
      </c>
      <c r="G39" s="17">
        <f t="shared" si="0"/>
        <v>654</v>
      </c>
      <c r="H39" s="25">
        <f t="shared" si="1"/>
        <v>72</v>
      </c>
      <c r="I39" s="21">
        <f t="shared" si="2"/>
        <v>11.009174311926607</v>
      </c>
      <c r="J39" s="37">
        <f t="shared" si="3"/>
        <v>582</v>
      </c>
      <c r="K39" s="25">
        <f t="shared" si="4"/>
        <v>169</v>
      </c>
      <c r="L39" s="21">
        <f t="shared" si="5"/>
        <v>29.037800687285227</v>
      </c>
      <c r="M39" s="17">
        <f t="shared" si="6"/>
        <v>654</v>
      </c>
      <c r="N39" s="25">
        <f t="shared" si="7"/>
        <v>17</v>
      </c>
      <c r="O39" s="30">
        <f t="shared" si="8"/>
        <v>2.5993883792048931</v>
      </c>
      <c r="P39" s="17">
        <f t="shared" si="9"/>
        <v>654</v>
      </c>
      <c r="Q39" s="25">
        <f t="shared" si="10"/>
        <v>9</v>
      </c>
      <c r="R39" s="31">
        <f t="shared" si="11"/>
        <v>1.3761467889908259</v>
      </c>
      <c r="S39" s="25">
        <f t="shared" si="12"/>
        <v>582</v>
      </c>
      <c r="T39" s="25">
        <f t="shared" si="13"/>
        <v>44</v>
      </c>
      <c r="U39" s="21">
        <f t="shared" si="14"/>
        <v>7.5601374570446733</v>
      </c>
      <c r="V39" s="37">
        <f t="shared" si="15"/>
        <v>52</v>
      </c>
      <c r="W39" s="31">
        <f t="shared" si="16"/>
        <v>7.951070336391437</v>
      </c>
      <c r="X39" s="37">
        <f t="shared" si="17"/>
        <v>11</v>
      </c>
      <c r="Y39" s="30">
        <f t="shared" si="18"/>
        <v>1.6819571865443423</v>
      </c>
    </row>
    <row r="40" spans="2:25" ht="15" customHeight="1" x14ac:dyDescent="0.25">
      <c r="B40" s="5" t="s">
        <v>48</v>
      </c>
      <c r="C40" s="7" t="s">
        <v>70</v>
      </c>
      <c r="D40" s="7" t="s">
        <v>105</v>
      </c>
      <c r="E40" s="7" t="s">
        <v>105</v>
      </c>
      <c r="F40" s="44">
        <v>211301</v>
      </c>
      <c r="G40" s="17">
        <f t="shared" si="0"/>
        <v>1359</v>
      </c>
      <c r="H40" s="25">
        <f t="shared" si="1"/>
        <v>119</v>
      </c>
      <c r="I40" s="21">
        <f t="shared" si="2"/>
        <v>8.7564385577630599</v>
      </c>
      <c r="J40" s="37">
        <f t="shared" si="3"/>
        <v>1240</v>
      </c>
      <c r="K40" s="25">
        <f t="shared" si="4"/>
        <v>416</v>
      </c>
      <c r="L40" s="21">
        <f t="shared" si="5"/>
        <v>33.548387096774199</v>
      </c>
      <c r="M40" s="17">
        <f t="shared" si="6"/>
        <v>1359</v>
      </c>
      <c r="N40" s="25">
        <f t="shared" si="7"/>
        <v>31</v>
      </c>
      <c r="O40" s="30">
        <f t="shared" si="8"/>
        <v>2.2810890360559237</v>
      </c>
      <c r="P40" s="17">
        <f t="shared" si="9"/>
        <v>1359</v>
      </c>
      <c r="Q40" s="25">
        <f t="shared" si="10"/>
        <v>24</v>
      </c>
      <c r="R40" s="31">
        <f t="shared" si="11"/>
        <v>1.7660044150110374</v>
      </c>
      <c r="S40" s="25">
        <f t="shared" si="12"/>
        <v>1245</v>
      </c>
      <c r="T40" s="25">
        <f t="shared" si="13"/>
        <v>59</v>
      </c>
      <c r="U40" s="21">
        <f t="shared" si="14"/>
        <v>4.738955823293173</v>
      </c>
      <c r="V40" s="37">
        <f t="shared" si="15"/>
        <v>81</v>
      </c>
      <c r="W40" s="31">
        <f t="shared" si="16"/>
        <v>5.9602649006622519</v>
      </c>
      <c r="X40" s="37">
        <f t="shared" si="17"/>
        <v>9</v>
      </c>
      <c r="Y40" s="30">
        <f t="shared" si="18"/>
        <v>0.66225165562913912</v>
      </c>
    </row>
    <row r="41" spans="2:25" ht="15" customHeight="1" x14ac:dyDescent="0.25">
      <c r="B41" s="5" t="s">
        <v>48</v>
      </c>
      <c r="C41" s="7" t="s">
        <v>70</v>
      </c>
      <c r="D41" s="7" t="s">
        <v>105</v>
      </c>
      <c r="E41" s="7" t="s">
        <v>106</v>
      </c>
      <c r="F41" s="44">
        <v>211302</v>
      </c>
      <c r="G41" s="17">
        <f t="shared" si="0"/>
        <v>54</v>
      </c>
      <c r="H41" s="25">
        <f t="shared" si="1"/>
        <v>13</v>
      </c>
      <c r="I41" s="21">
        <f t="shared" si="2"/>
        <v>24.074074074074073</v>
      </c>
      <c r="J41" s="37">
        <f t="shared" si="3"/>
        <v>41</v>
      </c>
      <c r="K41" s="25">
        <f t="shared" si="4"/>
        <v>19</v>
      </c>
      <c r="L41" s="21">
        <f t="shared" si="5"/>
        <v>46.341463414634148</v>
      </c>
      <c r="M41" s="17">
        <f t="shared" si="6"/>
        <v>54</v>
      </c>
      <c r="N41" s="25">
        <f t="shared" si="7"/>
        <v>0</v>
      </c>
      <c r="O41" s="30">
        <f t="shared" si="8"/>
        <v>0</v>
      </c>
      <c r="P41" s="17">
        <f t="shared" si="9"/>
        <v>54</v>
      </c>
      <c r="Q41" s="25">
        <f t="shared" si="10"/>
        <v>0</v>
      </c>
      <c r="R41" s="31">
        <f t="shared" si="11"/>
        <v>0</v>
      </c>
      <c r="S41" s="25">
        <f t="shared" si="12"/>
        <v>39</v>
      </c>
      <c r="T41" s="25">
        <f t="shared" si="13"/>
        <v>0</v>
      </c>
      <c r="U41" s="21">
        <f t="shared" si="14"/>
        <v>0</v>
      </c>
      <c r="V41" s="37">
        <f t="shared" si="15"/>
        <v>13</v>
      </c>
      <c r="W41" s="31">
        <f t="shared" si="16"/>
        <v>24.074074074074073</v>
      </c>
      <c r="X41" s="37">
        <f t="shared" si="17"/>
        <v>2</v>
      </c>
      <c r="Y41" s="30">
        <f t="shared" si="18"/>
        <v>3.7037037037037033</v>
      </c>
    </row>
    <row r="42" spans="2:25" ht="15" customHeight="1" x14ac:dyDescent="0.25">
      <c r="B42" s="5" t="s">
        <v>48</v>
      </c>
      <c r="C42" s="7" t="s">
        <v>70</v>
      </c>
      <c r="D42" s="7" t="s">
        <v>105</v>
      </c>
      <c r="E42" s="7" t="s">
        <v>107</v>
      </c>
      <c r="F42" s="44">
        <v>211303</v>
      </c>
      <c r="G42" s="17">
        <f t="shared" si="0"/>
        <v>234</v>
      </c>
      <c r="H42" s="25">
        <f t="shared" si="1"/>
        <v>24</v>
      </c>
      <c r="I42" s="21">
        <f t="shared" si="2"/>
        <v>10.256410256410255</v>
      </c>
      <c r="J42" s="37">
        <f t="shared" si="3"/>
        <v>210</v>
      </c>
      <c r="K42" s="25">
        <f t="shared" si="4"/>
        <v>72</v>
      </c>
      <c r="L42" s="21">
        <f t="shared" si="5"/>
        <v>34.285714285714285</v>
      </c>
      <c r="M42" s="17">
        <f t="shared" si="6"/>
        <v>234</v>
      </c>
      <c r="N42" s="25">
        <f t="shared" si="7"/>
        <v>4</v>
      </c>
      <c r="O42" s="30">
        <f t="shared" si="8"/>
        <v>1.7094017094017095</v>
      </c>
      <c r="P42" s="17">
        <f t="shared" si="9"/>
        <v>234</v>
      </c>
      <c r="Q42" s="25">
        <f t="shared" si="10"/>
        <v>2</v>
      </c>
      <c r="R42" s="31">
        <f t="shared" si="11"/>
        <v>0.85470085470085477</v>
      </c>
      <c r="S42" s="25">
        <f t="shared" si="12"/>
        <v>228</v>
      </c>
      <c r="T42" s="25">
        <f t="shared" si="13"/>
        <v>5</v>
      </c>
      <c r="U42" s="21">
        <f t="shared" si="14"/>
        <v>2.1929824561403506</v>
      </c>
      <c r="V42" s="37">
        <f t="shared" si="15"/>
        <v>3</v>
      </c>
      <c r="W42" s="31">
        <f t="shared" si="16"/>
        <v>1.2820512820512819</v>
      </c>
      <c r="X42" s="37">
        <f t="shared" si="17"/>
        <v>1</v>
      </c>
      <c r="Y42" s="30">
        <f t="shared" si="18"/>
        <v>0.42735042735042739</v>
      </c>
    </row>
    <row r="43" spans="2:25" ht="15" customHeight="1" x14ac:dyDescent="0.25">
      <c r="B43" s="5" t="s">
        <v>48</v>
      </c>
      <c r="C43" s="7" t="s">
        <v>70</v>
      </c>
      <c r="D43" s="7" t="s">
        <v>105</v>
      </c>
      <c r="E43" s="7" t="s">
        <v>108</v>
      </c>
      <c r="F43" s="44">
        <v>211304</v>
      </c>
      <c r="G43" s="17">
        <f t="shared" si="0"/>
        <v>46</v>
      </c>
      <c r="H43" s="25">
        <f t="shared" si="1"/>
        <v>4</v>
      </c>
      <c r="I43" s="21">
        <f t="shared" si="2"/>
        <v>8.695652173913043</v>
      </c>
      <c r="J43" s="37">
        <f t="shared" si="3"/>
        <v>42</v>
      </c>
      <c r="K43" s="25">
        <f t="shared" si="4"/>
        <v>10</v>
      </c>
      <c r="L43" s="21">
        <f t="shared" si="5"/>
        <v>23.809523809523807</v>
      </c>
      <c r="M43" s="17">
        <f t="shared" si="6"/>
        <v>46</v>
      </c>
      <c r="N43" s="25">
        <f t="shared" si="7"/>
        <v>0</v>
      </c>
      <c r="O43" s="30">
        <f t="shared" si="8"/>
        <v>0</v>
      </c>
      <c r="P43" s="17">
        <f t="shared" si="9"/>
        <v>46</v>
      </c>
      <c r="Q43" s="25">
        <f t="shared" si="10"/>
        <v>1</v>
      </c>
      <c r="R43" s="31">
        <f t="shared" si="11"/>
        <v>2.1739130434782608</v>
      </c>
      <c r="S43" s="25">
        <f t="shared" si="12"/>
        <v>43</v>
      </c>
      <c r="T43" s="25">
        <f t="shared" si="13"/>
        <v>1</v>
      </c>
      <c r="U43" s="21">
        <f t="shared" si="14"/>
        <v>2.3255813953488373</v>
      </c>
      <c r="V43" s="37">
        <f t="shared" si="15"/>
        <v>2</v>
      </c>
      <c r="W43" s="31">
        <f t="shared" si="16"/>
        <v>4.3478260869565215</v>
      </c>
      <c r="X43" s="37">
        <f t="shared" si="17"/>
        <v>0</v>
      </c>
      <c r="Y43" s="30">
        <f t="shared" si="18"/>
        <v>0</v>
      </c>
    </row>
    <row r="44" spans="2:25" ht="15" customHeight="1" x14ac:dyDescent="0.25">
      <c r="B44" s="5" t="s">
        <v>48</v>
      </c>
      <c r="C44" s="7" t="s">
        <v>70</v>
      </c>
      <c r="D44" s="7" t="s">
        <v>105</v>
      </c>
      <c r="E44" s="7" t="s">
        <v>109</v>
      </c>
      <c r="F44" s="44">
        <v>211305</v>
      </c>
      <c r="G44" s="17">
        <f t="shared" si="0"/>
        <v>75</v>
      </c>
      <c r="H44" s="25">
        <f t="shared" si="1"/>
        <v>8</v>
      </c>
      <c r="I44" s="21">
        <f t="shared" si="2"/>
        <v>10.666666666666668</v>
      </c>
      <c r="J44" s="37">
        <f t="shared" si="3"/>
        <v>67</v>
      </c>
      <c r="K44" s="25">
        <f t="shared" si="4"/>
        <v>30</v>
      </c>
      <c r="L44" s="21">
        <f t="shared" si="5"/>
        <v>44.776119402985074</v>
      </c>
      <c r="M44" s="17">
        <f t="shared" si="6"/>
        <v>75</v>
      </c>
      <c r="N44" s="25">
        <f t="shared" si="7"/>
        <v>2</v>
      </c>
      <c r="O44" s="30">
        <f t="shared" si="8"/>
        <v>2.666666666666667</v>
      </c>
      <c r="P44" s="17">
        <f t="shared" si="9"/>
        <v>75</v>
      </c>
      <c r="Q44" s="25">
        <f t="shared" si="10"/>
        <v>1</v>
      </c>
      <c r="R44" s="31">
        <f t="shared" si="11"/>
        <v>1.3333333333333335</v>
      </c>
      <c r="S44" s="25">
        <f t="shared" si="12"/>
        <v>70</v>
      </c>
      <c r="T44" s="25">
        <f t="shared" si="13"/>
        <v>6</v>
      </c>
      <c r="U44" s="21">
        <f t="shared" si="14"/>
        <v>8.5714285714285712</v>
      </c>
      <c r="V44" s="37">
        <f t="shared" si="15"/>
        <v>2</v>
      </c>
      <c r="W44" s="31">
        <f t="shared" si="16"/>
        <v>2.666666666666667</v>
      </c>
      <c r="X44" s="37">
        <f t="shared" si="17"/>
        <v>2</v>
      </c>
      <c r="Y44" s="30">
        <f t="shared" si="18"/>
        <v>2.666666666666667</v>
      </c>
    </row>
    <row r="45" spans="2:25" ht="15" customHeight="1" x14ac:dyDescent="0.25">
      <c r="B45" s="5" t="s">
        <v>48</v>
      </c>
      <c r="C45" s="7" t="s">
        <v>70</v>
      </c>
      <c r="D45" s="7" t="s">
        <v>105</v>
      </c>
      <c r="E45" s="7" t="s">
        <v>110</v>
      </c>
      <c r="F45" s="44">
        <v>211306</v>
      </c>
      <c r="G45" s="17">
        <f t="shared" si="0"/>
        <v>32</v>
      </c>
      <c r="H45" s="25">
        <f t="shared" si="1"/>
        <v>8</v>
      </c>
      <c r="I45" s="21">
        <f t="shared" si="2"/>
        <v>25</v>
      </c>
      <c r="J45" s="37">
        <f t="shared" si="3"/>
        <v>24</v>
      </c>
      <c r="K45" s="25">
        <f t="shared" si="4"/>
        <v>11</v>
      </c>
      <c r="L45" s="21">
        <f t="shared" si="5"/>
        <v>45.833333333333329</v>
      </c>
      <c r="M45" s="17">
        <f t="shared" si="6"/>
        <v>32</v>
      </c>
      <c r="N45" s="25">
        <f t="shared" si="7"/>
        <v>1</v>
      </c>
      <c r="O45" s="30">
        <f t="shared" si="8"/>
        <v>3.125</v>
      </c>
      <c r="P45" s="17">
        <f t="shared" si="9"/>
        <v>32</v>
      </c>
      <c r="Q45" s="25">
        <f t="shared" si="10"/>
        <v>0</v>
      </c>
      <c r="R45" s="31">
        <f t="shared" si="11"/>
        <v>0</v>
      </c>
      <c r="S45" s="25">
        <f t="shared" si="12"/>
        <v>31</v>
      </c>
      <c r="T45" s="25">
        <f t="shared" si="13"/>
        <v>2</v>
      </c>
      <c r="U45" s="21">
        <f t="shared" si="14"/>
        <v>6.4516129032258061</v>
      </c>
      <c r="V45" s="37">
        <f t="shared" si="15"/>
        <v>0</v>
      </c>
      <c r="W45" s="31">
        <f t="shared" si="16"/>
        <v>0</v>
      </c>
      <c r="X45" s="37">
        <f t="shared" si="17"/>
        <v>1</v>
      </c>
      <c r="Y45" s="30">
        <f t="shared" si="18"/>
        <v>3.125</v>
      </c>
    </row>
    <row r="46" spans="2:25" ht="15" customHeight="1" x14ac:dyDescent="0.25">
      <c r="B46" s="5" t="s">
        <v>48</v>
      </c>
      <c r="C46" s="7" t="s">
        <v>70</v>
      </c>
      <c r="D46" s="7" t="s">
        <v>105</v>
      </c>
      <c r="E46" s="7" t="s">
        <v>111</v>
      </c>
      <c r="F46" s="44">
        <v>211307</v>
      </c>
      <c r="G46" s="17">
        <f t="shared" si="0"/>
        <v>38</v>
      </c>
      <c r="H46" s="25">
        <f t="shared" si="1"/>
        <v>3</v>
      </c>
      <c r="I46" s="21">
        <f t="shared" si="2"/>
        <v>7.8947368421052628</v>
      </c>
      <c r="J46" s="37">
        <f t="shared" si="3"/>
        <v>35</v>
      </c>
      <c r="K46" s="25">
        <f t="shared" si="4"/>
        <v>15</v>
      </c>
      <c r="L46" s="21">
        <f t="shared" si="5"/>
        <v>42.857142857142854</v>
      </c>
      <c r="M46" s="17">
        <f t="shared" si="6"/>
        <v>38</v>
      </c>
      <c r="N46" s="25">
        <f t="shared" si="7"/>
        <v>1</v>
      </c>
      <c r="O46" s="30">
        <f t="shared" si="8"/>
        <v>2.6315789473684208</v>
      </c>
      <c r="P46" s="17">
        <f t="shared" si="9"/>
        <v>38</v>
      </c>
      <c r="Q46" s="25">
        <f t="shared" si="10"/>
        <v>3</v>
      </c>
      <c r="R46" s="31">
        <f t="shared" si="11"/>
        <v>7.8947368421052628</v>
      </c>
      <c r="S46" s="25">
        <f t="shared" si="12"/>
        <v>33</v>
      </c>
      <c r="T46" s="25">
        <f t="shared" si="13"/>
        <v>1</v>
      </c>
      <c r="U46" s="21">
        <f t="shared" si="14"/>
        <v>3.0303030303030303</v>
      </c>
      <c r="V46" s="37">
        <f t="shared" si="15"/>
        <v>1</v>
      </c>
      <c r="W46" s="31">
        <f t="shared" si="16"/>
        <v>2.6315789473684208</v>
      </c>
      <c r="X46" s="37">
        <f t="shared" si="17"/>
        <v>1</v>
      </c>
      <c r="Y46" s="30">
        <f t="shared" si="18"/>
        <v>2.6315789473684208</v>
      </c>
    </row>
    <row r="47" spans="2:25" ht="15" customHeight="1" x14ac:dyDescent="0.25">
      <c r="B47" s="5" t="s">
        <v>48</v>
      </c>
      <c r="C47" s="7" t="s">
        <v>112</v>
      </c>
      <c r="D47" s="7" t="s">
        <v>112</v>
      </c>
      <c r="E47" s="7" t="s">
        <v>113</v>
      </c>
      <c r="F47" s="44">
        <v>230107</v>
      </c>
      <c r="G47" s="17">
        <f t="shared" si="0"/>
        <v>89</v>
      </c>
      <c r="H47" s="25">
        <f t="shared" si="1"/>
        <v>15</v>
      </c>
      <c r="I47" s="21">
        <f t="shared" si="2"/>
        <v>16.853932584269664</v>
      </c>
      <c r="J47" s="37">
        <f t="shared" si="3"/>
        <v>74</v>
      </c>
      <c r="K47" s="25">
        <f t="shared" si="4"/>
        <v>28</v>
      </c>
      <c r="L47" s="21">
        <f t="shared" si="5"/>
        <v>37.837837837837839</v>
      </c>
      <c r="M47" s="17">
        <f t="shared" si="6"/>
        <v>89</v>
      </c>
      <c r="N47" s="25">
        <f t="shared" si="7"/>
        <v>3</v>
      </c>
      <c r="O47" s="30">
        <f t="shared" si="8"/>
        <v>3.3707865168539324</v>
      </c>
      <c r="P47" s="17">
        <f t="shared" si="9"/>
        <v>89</v>
      </c>
      <c r="Q47" s="25">
        <f t="shared" si="10"/>
        <v>3</v>
      </c>
      <c r="R47" s="31">
        <f t="shared" si="11"/>
        <v>3.3707865168539324</v>
      </c>
      <c r="S47" s="25">
        <f t="shared" si="12"/>
        <v>78</v>
      </c>
      <c r="T47" s="25">
        <f t="shared" si="13"/>
        <v>6</v>
      </c>
      <c r="U47" s="21">
        <f t="shared" si="14"/>
        <v>7.6923076923076925</v>
      </c>
      <c r="V47" s="37">
        <f t="shared" si="15"/>
        <v>8</v>
      </c>
      <c r="W47" s="31">
        <f t="shared" si="16"/>
        <v>8.9887640449438209</v>
      </c>
      <c r="X47" s="37">
        <f t="shared" si="17"/>
        <v>0</v>
      </c>
      <c r="Y47" s="30">
        <f t="shared" si="18"/>
        <v>0</v>
      </c>
    </row>
    <row r="48" spans="2:25" ht="15" customHeight="1" thickBot="1" x14ac:dyDescent="0.3">
      <c r="B48" s="5" t="s">
        <v>48</v>
      </c>
      <c r="C48" s="7" t="s">
        <v>112</v>
      </c>
      <c r="D48" s="7" t="s">
        <v>114</v>
      </c>
      <c r="E48" s="7" t="s">
        <v>114</v>
      </c>
      <c r="F48" s="44">
        <v>230401</v>
      </c>
      <c r="G48" s="17">
        <f t="shared" si="0"/>
        <v>157</v>
      </c>
      <c r="H48" s="25">
        <f t="shared" si="1"/>
        <v>13</v>
      </c>
      <c r="I48" s="21">
        <f t="shared" si="2"/>
        <v>8.2802547770700627</v>
      </c>
      <c r="J48" s="37">
        <f t="shared" si="3"/>
        <v>144</v>
      </c>
      <c r="K48" s="25">
        <f t="shared" si="4"/>
        <v>57</v>
      </c>
      <c r="L48" s="21">
        <f t="shared" si="5"/>
        <v>39.583333333333329</v>
      </c>
      <c r="M48" s="17">
        <f t="shared" si="6"/>
        <v>157</v>
      </c>
      <c r="N48" s="25">
        <f t="shared" si="7"/>
        <v>2</v>
      </c>
      <c r="O48" s="30">
        <f t="shared" si="8"/>
        <v>1.2738853503184715</v>
      </c>
      <c r="P48" s="17">
        <f t="shared" si="9"/>
        <v>157</v>
      </c>
      <c r="Q48" s="25">
        <f t="shared" si="10"/>
        <v>1</v>
      </c>
      <c r="R48" s="31">
        <f t="shared" si="11"/>
        <v>0.63694267515923575</v>
      </c>
      <c r="S48" s="25">
        <f t="shared" si="12"/>
        <v>144</v>
      </c>
      <c r="T48" s="25">
        <f t="shared" si="13"/>
        <v>9</v>
      </c>
      <c r="U48" s="21">
        <f t="shared" si="14"/>
        <v>6.25</v>
      </c>
      <c r="V48" s="37">
        <f t="shared" si="15"/>
        <v>9</v>
      </c>
      <c r="W48" s="31">
        <f t="shared" si="16"/>
        <v>5.7324840764331215</v>
      </c>
      <c r="X48" s="37">
        <f t="shared" si="17"/>
        <v>3</v>
      </c>
      <c r="Y48" s="30">
        <f t="shared" si="18"/>
        <v>1.910828025477707</v>
      </c>
    </row>
    <row r="49" spans="2:25" ht="15" customHeight="1" thickBot="1" x14ac:dyDescent="0.3">
      <c r="B49" s="81"/>
      <c r="C49" s="71"/>
      <c r="D49" s="71" t="str">
        <f>UPPER(_xlfn.CONCAT("Total ",B48))</f>
        <v>TOTAL ZONA ALTIPLÁNICA</v>
      </c>
      <c r="E49" s="71"/>
      <c r="F49" s="82"/>
      <c r="G49" s="19">
        <f>SUM(G8:G48)</f>
        <v>20656</v>
      </c>
      <c r="H49" s="27">
        <f>SUM(H8:H48)</f>
        <v>1997</v>
      </c>
      <c r="I49" s="23">
        <f>H49/G49*100</f>
        <v>9.6678931061192888</v>
      </c>
      <c r="J49" s="39">
        <f>SUM(J8:J48)</f>
        <v>18659</v>
      </c>
      <c r="K49" s="27">
        <f>SUM(K8:K48)</f>
        <v>6768</v>
      </c>
      <c r="L49" s="23">
        <f>K49/J49*100</f>
        <v>36.272040302267001</v>
      </c>
      <c r="M49" s="19">
        <f>SUM(M8:M48)</f>
        <v>20656</v>
      </c>
      <c r="N49" s="27">
        <f>SUM(N8:N48)</f>
        <v>351</v>
      </c>
      <c r="O49" s="34">
        <f>N49/M49*100</f>
        <v>1.6992641363284278</v>
      </c>
      <c r="P49" s="19">
        <f>SUM(P8:P48)</f>
        <v>20656</v>
      </c>
      <c r="Q49" s="27">
        <f>SUM(Q8:Q48)</f>
        <v>189</v>
      </c>
      <c r="R49" s="35">
        <f>Q49/P49*100</f>
        <v>0.91498838109992253</v>
      </c>
      <c r="S49" s="70">
        <f>SUM(S8:S48)</f>
        <v>18865</v>
      </c>
      <c r="T49" s="19">
        <f>SUM(T8:T48)</f>
        <v>755</v>
      </c>
      <c r="U49" s="35">
        <f>T49/S49*100</f>
        <v>4.0021203286509408</v>
      </c>
      <c r="V49" s="39">
        <f>SUM(V8:V48)</f>
        <v>1366</v>
      </c>
      <c r="W49" s="35">
        <f>V49/P49*100</f>
        <v>6.6130906274206041</v>
      </c>
      <c r="X49" s="39">
        <f>SUM(X8:X48)</f>
        <v>236</v>
      </c>
      <c r="Y49" s="34">
        <f>X49/P49*100</f>
        <v>1.1425251742835012</v>
      </c>
    </row>
    <row r="50" spans="2:25" ht="15" customHeight="1" x14ac:dyDescent="0.25">
      <c r="B50" s="5" t="s">
        <v>115</v>
      </c>
      <c r="C50" s="7" t="s">
        <v>116</v>
      </c>
      <c r="D50" s="7" t="s">
        <v>117</v>
      </c>
      <c r="E50" s="7" t="s">
        <v>118</v>
      </c>
      <c r="F50" s="44">
        <v>170301</v>
      </c>
      <c r="G50" s="17">
        <f>IFERROR(VLOOKUP($F50,distrito059,2,0),"-")</f>
        <v>178</v>
      </c>
      <c r="H50" s="25">
        <f>IFERROR(VLOOKUP($F50,distrito059,3,0),"-")</f>
        <v>19</v>
      </c>
      <c r="I50" s="21">
        <f>IFERROR(VLOOKUP($F50,distrito059,4,0),"-")</f>
        <v>10.674157303370785</v>
      </c>
      <c r="J50" s="37">
        <f>IFERROR(VLOOKUP($F50,distrito059,5,0),"-")</f>
        <v>159</v>
      </c>
      <c r="K50" s="25">
        <f>IFERROR(VLOOKUP($F50,distrito059,6,0),"-")</f>
        <v>46</v>
      </c>
      <c r="L50" s="21">
        <f>IFERROR(VLOOKUP($F50,distrito059,7,0),"-")</f>
        <v>28.930817610062892</v>
      </c>
      <c r="M50" s="17">
        <f>IFERROR(VLOOKUP($F50,distrito059,8,0),"-")</f>
        <v>178</v>
      </c>
      <c r="N50" s="25">
        <f>IFERROR(VLOOKUP($F50,distrito059,9,0),"-")</f>
        <v>4</v>
      </c>
      <c r="O50" s="30">
        <f>IFERROR(VLOOKUP($F50,distrito059,10,0),"-")</f>
        <v>2.2471910112359552</v>
      </c>
      <c r="P50" s="17">
        <f>IFERROR(VLOOKUP($F50,distrito059,11,0),"-")</f>
        <v>178</v>
      </c>
      <c r="Q50" s="25">
        <f>IFERROR(VLOOKUP($F50,distrito059,12,0),"-")</f>
        <v>3</v>
      </c>
      <c r="R50" s="31">
        <f>IFERROR(VLOOKUP($F50,distrito059,13,0),"-")</f>
        <v>1.6853932584269662</v>
      </c>
      <c r="S50" s="25">
        <f>IFERROR(VLOOKUP($F50,distrito059,14,0),"-")</f>
        <v>160</v>
      </c>
      <c r="T50" s="25">
        <f>IFERROR(VLOOKUP($F50,distrito059,15,0),"-")</f>
        <v>9</v>
      </c>
      <c r="U50" s="21">
        <f>IFERROR(VLOOKUP($F50,distrito059,16,0),"-")</f>
        <v>5.625</v>
      </c>
      <c r="V50" s="37">
        <f>IFERROR(VLOOKUP($F50,distrito059,17,0),"-")</f>
        <v>11</v>
      </c>
      <c r="W50" s="31">
        <f>IFERROR(VLOOKUP($F50,distrito059,18,0),"-")</f>
        <v>6.179775280898876</v>
      </c>
      <c r="X50" s="37">
        <f>IFERROR(VLOOKUP($F50,distrito059,19,0),"-")</f>
        <v>4</v>
      </c>
      <c r="Y50" s="30">
        <f>IFERROR(VLOOKUP($F50,distrito059,20,0),"-")</f>
        <v>2.2471910112359552</v>
      </c>
    </row>
    <row r="51" spans="2:25" ht="15" customHeight="1" x14ac:dyDescent="0.25">
      <c r="B51" s="5" t="s">
        <v>115</v>
      </c>
      <c r="C51" s="7" t="s">
        <v>116</v>
      </c>
      <c r="D51" s="7" t="s">
        <v>117</v>
      </c>
      <c r="E51" s="7" t="s">
        <v>119</v>
      </c>
      <c r="F51" s="44">
        <v>170302</v>
      </c>
      <c r="G51" s="17">
        <f>IFERROR(VLOOKUP($F51,distrito059,2,0),"-")</f>
        <v>511</v>
      </c>
      <c r="H51" s="25">
        <f>IFERROR(VLOOKUP($F51,distrito059,3,0),"-")</f>
        <v>55</v>
      </c>
      <c r="I51" s="21">
        <f>IFERROR(VLOOKUP($F51,distrito059,4,0),"-")</f>
        <v>10.763209393346379</v>
      </c>
      <c r="J51" s="37">
        <f>IFERROR(VLOOKUP($F51,distrito059,5,0),"-")</f>
        <v>456</v>
      </c>
      <c r="K51" s="25">
        <f>IFERROR(VLOOKUP($F51,distrito059,6,0),"-")</f>
        <v>148</v>
      </c>
      <c r="L51" s="21">
        <f>IFERROR(VLOOKUP($F51,distrito059,7,0),"-")</f>
        <v>32.456140350877192</v>
      </c>
      <c r="M51" s="17">
        <f>IFERROR(VLOOKUP($F51,distrito059,8,0),"-")</f>
        <v>511</v>
      </c>
      <c r="N51" s="25">
        <f>IFERROR(VLOOKUP($F51,distrito059,9,0),"-")</f>
        <v>17</v>
      </c>
      <c r="O51" s="30">
        <f>IFERROR(VLOOKUP($F51,distrito059,10,0),"-")</f>
        <v>3.3268101761252442</v>
      </c>
      <c r="P51" s="17">
        <f>IFERROR(VLOOKUP($F51,distrito059,11,0),"-")</f>
        <v>511</v>
      </c>
      <c r="Q51" s="25">
        <f>IFERROR(VLOOKUP($F51,distrito059,12,0),"-")</f>
        <v>14</v>
      </c>
      <c r="R51" s="31">
        <f>IFERROR(VLOOKUP($F51,distrito059,13,0),"-")</f>
        <v>2.7397260273972601</v>
      </c>
      <c r="S51" s="25">
        <f>IFERROR(VLOOKUP($F51,distrito059,14,0),"-")</f>
        <v>468</v>
      </c>
      <c r="T51" s="25">
        <f>IFERROR(VLOOKUP($F51,distrito059,15,0),"-")</f>
        <v>36</v>
      </c>
      <c r="U51" s="21">
        <f>IFERROR(VLOOKUP($F51,distrito059,16,0),"-")</f>
        <v>7.6923076923076925</v>
      </c>
      <c r="V51" s="37">
        <f>IFERROR(VLOOKUP($F51,distrito059,17,0),"-")</f>
        <v>22</v>
      </c>
      <c r="W51" s="31">
        <f>IFERROR(VLOOKUP($F51,distrito059,18,0),"-")</f>
        <v>4.3052837573385521</v>
      </c>
      <c r="X51" s="37">
        <f>IFERROR(VLOOKUP($F51,distrito059,19,0),"-")</f>
        <v>7</v>
      </c>
      <c r="Y51" s="30">
        <f>IFERROR(VLOOKUP($F51,distrito059,20,0),"-")</f>
        <v>1.3698630136986301</v>
      </c>
    </row>
    <row r="52" spans="2:25" ht="15" customHeight="1" x14ac:dyDescent="0.25">
      <c r="B52" s="5" t="s">
        <v>115</v>
      </c>
      <c r="C52" s="7" t="s">
        <v>116</v>
      </c>
      <c r="D52" s="7" t="s">
        <v>117</v>
      </c>
      <c r="E52" s="7" t="s">
        <v>117</v>
      </c>
      <c r="F52" s="44">
        <v>170303</v>
      </c>
      <c r="G52" s="17">
        <f>IFERROR(VLOOKUP($F52,distrito059,2,0),"-")</f>
        <v>471</v>
      </c>
      <c r="H52" s="25">
        <f>IFERROR(VLOOKUP($F52,distrito059,3,0),"-")</f>
        <v>70</v>
      </c>
      <c r="I52" s="21">
        <f>IFERROR(VLOOKUP($F52,distrito059,4,0),"-")</f>
        <v>14.861995753715499</v>
      </c>
      <c r="J52" s="37">
        <f>IFERROR(VLOOKUP($F52,distrito059,5,0),"-")</f>
        <v>401</v>
      </c>
      <c r="K52" s="25">
        <f>IFERROR(VLOOKUP($F52,distrito059,6,0),"-")</f>
        <v>151</v>
      </c>
      <c r="L52" s="21">
        <f>IFERROR(VLOOKUP($F52,distrito059,7,0),"-")</f>
        <v>37.655860349127181</v>
      </c>
      <c r="M52" s="17">
        <f>IFERROR(VLOOKUP($F52,distrito059,8,0),"-")</f>
        <v>471</v>
      </c>
      <c r="N52" s="25">
        <f>IFERROR(VLOOKUP($F52,distrito059,9,0),"-")</f>
        <v>28</v>
      </c>
      <c r="O52" s="30">
        <f>IFERROR(VLOOKUP($F52,distrito059,10,0),"-")</f>
        <v>5.9447983014862</v>
      </c>
      <c r="P52" s="17">
        <f>IFERROR(VLOOKUP($F52,distrito059,11,0),"-")</f>
        <v>471</v>
      </c>
      <c r="Q52" s="25">
        <f>IFERROR(VLOOKUP($F52,distrito059,12,0),"-")</f>
        <v>20</v>
      </c>
      <c r="R52" s="31">
        <f>IFERROR(VLOOKUP($F52,distrito059,13,0),"-")</f>
        <v>4.2462845010615711</v>
      </c>
      <c r="S52" s="25">
        <f>IFERROR(VLOOKUP($F52,distrito059,14,0),"-")</f>
        <v>424</v>
      </c>
      <c r="T52" s="25">
        <f>IFERROR(VLOOKUP($F52,distrito059,15,0),"-")</f>
        <v>47</v>
      </c>
      <c r="U52" s="21">
        <f>IFERROR(VLOOKUP($F52,distrito059,16,0),"-")</f>
        <v>11.084905660377359</v>
      </c>
      <c r="V52" s="37">
        <f>IFERROR(VLOOKUP($F52,distrito059,17,0),"-")</f>
        <v>23</v>
      </c>
      <c r="W52" s="31">
        <f>IFERROR(VLOOKUP($F52,distrito059,18,0),"-")</f>
        <v>4.8832271762208075</v>
      </c>
      <c r="X52" s="37">
        <f>IFERROR(VLOOKUP($F52,distrito059,19,0),"-")</f>
        <v>4</v>
      </c>
      <c r="Y52" s="30">
        <f>IFERROR(VLOOKUP($F52,distrito059,20,0),"-")</f>
        <v>0.84925690021231426</v>
      </c>
    </row>
    <row r="53" spans="2:25" ht="15" customHeight="1" x14ac:dyDescent="0.25">
      <c r="B53" s="5" t="s">
        <v>115</v>
      </c>
      <c r="C53" s="7" t="s">
        <v>116</v>
      </c>
      <c r="D53" s="7" t="s">
        <v>120</v>
      </c>
      <c r="E53" s="7" t="s">
        <v>120</v>
      </c>
      <c r="F53" s="44">
        <v>170101</v>
      </c>
      <c r="G53" s="17">
        <f>IFERROR(VLOOKUP($F53,distrito059,2,0),"-")</f>
        <v>6094</v>
      </c>
      <c r="H53" s="25">
        <f>IFERROR(VLOOKUP($F53,distrito059,3,0),"-")</f>
        <v>498</v>
      </c>
      <c r="I53" s="21">
        <f>IFERROR(VLOOKUP($F53,distrito059,4,0),"-")</f>
        <v>8.1719724319002296</v>
      </c>
      <c r="J53" s="37">
        <f>IFERROR(VLOOKUP($F53,distrito059,5,0),"-")</f>
        <v>5596</v>
      </c>
      <c r="K53" s="25">
        <f>IFERROR(VLOOKUP($F53,distrito059,6,0),"-")</f>
        <v>1486</v>
      </c>
      <c r="L53" s="21">
        <f>IFERROR(VLOOKUP($F53,distrito059,7,0),"-")</f>
        <v>26.554681915654037</v>
      </c>
      <c r="M53" s="17">
        <f>IFERROR(VLOOKUP($F53,distrito059,8,0),"-")</f>
        <v>6094</v>
      </c>
      <c r="N53" s="25">
        <f>IFERROR(VLOOKUP($F53,distrito059,9,0),"-")</f>
        <v>196</v>
      </c>
      <c r="O53" s="30">
        <f>IFERROR(VLOOKUP($F53,distrito059,10,0),"-")</f>
        <v>3.2162783065310139</v>
      </c>
      <c r="P53" s="17">
        <f>IFERROR(VLOOKUP($F53,distrito059,11,0),"-")</f>
        <v>6094</v>
      </c>
      <c r="Q53" s="25">
        <f>IFERROR(VLOOKUP($F53,distrito059,12,0),"-")</f>
        <v>134</v>
      </c>
      <c r="R53" s="31">
        <f>IFERROR(VLOOKUP($F53,distrito059,13,0),"-")</f>
        <v>2.198884148342632</v>
      </c>
      <c r="S53" s="25">
        <f>IFERROR(VLOOKUP($F53,distrito059,14,0),"-")</f>
        <v>5556</v>
      </c>
      <c r="T53" s="25">
        <f>IFERROR(VLOOKUP($F53,distrito059,15,0),"-")</f>
        <v>528</v>
      </c>
      <c r="U53" s="21">
        <f>IFERROR(VLOOKUP($F53,distrito059,16,0),"-")</f>
        <v>9.5032397408207352</v>
      </c>
      <c r="V53" s="37">
        <f>IFERROR(VLOOKUP($F53,distrito059,17,0),"-")</f>
        <v>305</v>
      </c>
      <c r="W53" s="31">
        <f>IFERROR(VLOOKUP($F53,distrito059,18,0),"-")</f>
        <v>5.004922874958976</v>
      </c>
      <c r="X53" s="37">
        <f>IFERROR(VLOOKUP($F53,distrito059,19,0),"-")</f>
        <v>99</v>
      </c>
      <c r="Y53" s="30">
        <f>IFERROR(VLOOKUP($F53,distrito059,20,0),"-")</f>
        <v>1.6245487364620936</v>
      </c>
    </row>
    <row r="54" spans="2:25" ht="15" customHeight="1" thickBot="1" x14ac:dyDescent="0.3">
      <c r="B54" s="5" t="s">
        <v>115</v>
      </c>
      <c r="C54" s="7" t="s">
        <v>116</v>
      </c>
      <c r="D54" s="7" t="s">
        <v>120</v>
      </c>
      <c r="E54" s="7" t="s">
        <v>121</v>
      </c>
      <c r="F54" s="44">
        <v>170103</v>
      </c>
      <c r="G54" s="17">
        <f>IFERROR(VLOOKUP($F54,distrito059,2,0),"-")</f>
        <v>1607</v>
      </c>
      <c r="H54" s="25">
        <f>IFERROR(VLOOKUP($F54,distrito059,3,0),"-")</f>
        <v>184</v>
      </c>
      <c r="I54" s="21">
        <f>IFERROR(VLOOKUP($F54,distrito059,4,0),"-")</f>
        <v>11.449906658369633</v>
      </c>
      <c r="J54" s="37">
        <f>IFERROR(VLOOKUP($F54,distrito059,5,0),"-")</f>
        <v>1423</v>
      </c>
      <c r="K54" s="25">
        <f>IFERROR(VLOOKUP($F54,distrito059,6,0),"-")</f>
        <v>458</v>
      </c>
      <c r="L54" s="21">
        <f>IFERROR(VLOOKUP($F54,distrito059,7,0),"-")</f>
        <v>32.185523541813069</v>
      </c>
      <c r="M54" s="17">
        <f>IFERROR(VLOOKUP($F54,distrito059,8,0),"-")</f>
        <v>1607</v>
      </c>
      <c r="N54" s="25">
        <f>IFERROR(VLOOKUP($F54,distrito059,9,0),"-")</f>
        <v>49</v>
      </c>
      <c r="O54" s="30">
        <f>IFERROR(VLOOKUP($F54,distrito059,10,0),"-")</f>
        <v>3.0491599253266957</v>
      </c>
      <c r="P54" s="17">
        <f>IFERROR(VLOOKUP($F54,distrito059,11,0),"-")</f>
        <v>1607</v>
      </c>
      <c r="Q54" s="25">
        <f>IFERROR(VLOOKUP($F54,distrito059,12,0),"-")</f>
        <v>35</v>
      </c>
      <c r="R54" s="31">
        <f>IFERROR(VLOOKUP($F54,distrito059,13,0),"-")</f>
        <v>2.177971375233354</v>
      </c>
      <c r="S54" s="25">
        <f>IFERROR(VLOOKUP($F54,distrito059,14,0),"-")</f>
        <v>1443</v>
      </c>
      <c r="T54" s="25">
        <f>IFERROR(VLOOKUP($F54,distrito059,15,0),"-")</f>
        <v>134</v>
      </c>
      <c r="U54" s="21">
        <f>IFERROR(VLOOKUP($F54,distrito059,16,0),"-")</f>
        <v>9.2862092862092869</v>
      </c>
      <c r="V54" s="37">
        <f>IFERROR(VLOOKUP($F54,distrito059,17,0),"-")</f>
        <v>102</v>
      </c>
      <c r="W54" s="31">
        <f>IFERROR(VLOOKUP($F54,distrito059,18,0),"-")</f>
        <v>6.3472308649657752</v>
      </c>
      <c r="X54" s="37">
        <f>IFERROR(VLOOKUP($F54,distrito059,19,0),"-")</f>
        <v>27</v>
      </c>
      <c r="Y54" s="30">
        <f>IFERROR(VLOOKUP($F54,distrito059,20,0),"-")</f>
        <v>1.6801493466085875</v>
      </c>
    </row>
    <row r="55" spans="2:25" ht="15" customHeight="1" thickBot="1" x14ac:dyDescent="0.3">
      <c r="B55" s="81"/>
      <c r="C55" s="71"/>
      <c r="D55" s="71" t="str">
        <f>UPPER(_xlfn.CONCAT("Total ",B54))</f>
        <v>TOTAL ZONA AMAZÓNICA ARTICULADA</v>
      </c>
      <c r="E55" s="71"/>
      <c r="F55" s="82"/>
      <c r="G55" s="19">
        <f>SUM(G50:G54)</f>
        <v>8861</v>
      </c>
      <c r="H55" s="27">
        <f>SUM(H50:H54)</f>
        <v>826</v>
      </c>
      <c r="I55" s="23">
        <f>H55/G55*100</f>
        <v>9.3217469811533693</v>
      </c>
      <c r="J55" s="39">
        <f>SUM(J50:J54)</f>
        <v>8035</v>
      </c>
      <c r="K55" s="27">
        <f>SUM(K50:K54)</f>
        <v>2289</v>
      </c>
      <c r="L55" s="23">
        <f>K55/J55*100</f>
        <v>28.487865588052269</v>
      </c>
      <c r="M55" s="19">
        <f>SUM(M50:M54)</f>
        <v>8861</v>
      </c>
      <c r="N55" s="27">
        <f>SUM(N50:N54)</f>
        <v>294</v>
      </c>
      <c r="O55" s="34">
        <f>N55/M55*100</f>
        <v>3.3179099424444192</v>
      </c>
      <c r="P55" s="19">
        <f>SUM(P50:P54)</f>
        <v>8861</v>
      </c>
      <c r="Q55" s="27">
        <f>SUM(Q50:Q54)</f>
        <v>206</v>
      </c>
      <c r="R55" s="35">
        <f>Q55/P55*100</f>
        <v>2.3247940413045933</v>
      </c>
      <c r="S55" s="70">
        <f>SUM(S50:S54)</f>
        <v>8051</v>
      </c>
      <c r="T55" s="19">
        <f>SUM(T50:T54)</f>
        <v>754</v>
      </c>
      <c r="U55" s="35">
        <f>T55/S55*100</f>
        <v>9.3652962364923606</v>
      </c>
      <c r="V55" s="39">
        <f>SUM(V50:V54)</f>
        <v>463</v>
      </c>
      <c r="W55" s="35">
        <f>V55/P55*100</f>
        <v>5.2251438889515853</v>
      </c>
      <c r="X55" s="39">
        <f>SUM(X50:X54)</f>
        <v>141</v>
      </c>
      <c r="Y55" s="34">
        <f>X55/P55*100</f>
        <v>1.5912425234172214</v>
      </c>
    </row>
    <row r="56" spans="2:25" ht="15" customHeight="1" x14ac:dyDescent="0.25">
      <c r="B56" s="5" t="s">
        <v>122</v>
      </c>
      <c r="C56" s="7" t="s">
        <v>123</v>
      </c>
      <c r="D56" s="7" t="s">
        <v>124</v>
      </c>
      <c r="E56" s="7" t="s">
        <v>125</v>
      </c>
      <c r="F56" s="44">
        <v>10205</v>
      </c>
      <c r="G56" s="17">
        <f t="shared" ref="G56:G76" si="19">IFERROR(VLOOKUP($F56,distrito059,2,0),"-")</f>
        <v>8060</v>
      </c>
      <c r="H56" s="25">
        <f t="shared" ref="H56:H76" si="20">IFERROR(VLOOKUP($F56,distrito059,3,0),"-")</f>
        <v>2898</v>
      </c>
      <c r="I56" s="21">
        <f t="shared" ref="I56:I76" si="21">IFERROR(VLOOKUP($F56,distrito059,4,0),"-")</f>
        <v>35.955334987593055</v>
      </c>
      <c r="J56" s="37">
        <f t="shared" ref="J56:J76" si="22">IFERROR(VLOOKUP($F56,distrito059,5,0),"-")</f>
        <v>5162</v>
      </c>
      <c r="K56" s="25">
        <f t="shared" ref="K56:K76" si="23">IFERROR(VLOOKUP($F56,distrito059,6,0),"-")</f>
        <v>2988</v>
      </c>
      <c r="L56" s="21">
        <f t="shared" ref="L56:L76" si="24">IFERROR(VLOOKUP($F56,distrito059,7,0),"-")</f>
        <v>57.884540875629597</v>
      </c>
      <c r="M56" s="17">
        <f t="shared" ref="M56:M76" si="25">IFERROR(VLOOKUP($F56,distrito059,8,0),"-")</f>
        <v>8060</v>
      </c>
      <c r="N56" s="25">
        <f t="shared" ref="N56:N76" si="26">IFERROR(VLOOKUP($F56,distrito059,9,0),"-")</f>
        <v>452</v>
      </c>
      <c r="O56" s="30">
        <f t="shared" ref="O56:O76" si="27">IFERROR(VLOOKUP($F56,distrito059,10,0),"-")</f>
        <v>5.6079404466501241</v>
      </c>
      <c r="P56" s="17">
        <f t="shared" ref="P56:P76" si="28">IFERROR(VLOOKUP($F56,distrito059,11,0),"-")</f>
        <v>8060</v>
      </c>
      <c r="Q56" s="25">
        <f t="shared" ref="Q56:Q76" si="29">IFERROR(VLOOKUP($F56,distrito059,12,0),"-")</f>
        <v>135</v>
      </c>
      <c r="R56" s="31">
        <f t="shared" ref="R56:R76" si="30">IFERROR(VLOOKUP($F56,distrito059,13,0),"-")</f>
        <v>1.6749379652605458</v>
      </c>
      <c r="S56" s="25">
        <f t="shared" ref="S56:S76" si="31">IFERROR(VLOOKUP($F56,distrito059,14,0),"-")</f>
        <v>7265</v>
      </c>
      <c r="T56" s="25">
        <f t="shared" ref="T56:T76" si="32">IFERROR(VLOOKUP($F56,distrito059,15,0),"-")</f>
        <v>403</v>
      </c>
      <c r="U56" s="21">
        <f t="shared" ref="U56:U76" si="33">IFERROR(VLOOKUP($F56,distrito059,16,0),"-")</f>
        <v>5.5471438403303504</v>
      </c>
      <c r="V56" s="37">
        <f t="shared" ref="V56:V76" si="34">IFERROR(VLOOKUP($F56,distrito059,17,0),"-")</f>
        <v>525</v>
      </c>
      <c r="W56" s="31">
        <f t="shared" ref="W56:W76" si="35">IFERROR(VLOOKUP($F56,distrito059,18,0),"-")</f>
        <v>6.513647642679901</v>
      </c>
      <c r="X56" s="37">
        <f t="shared" ref="X56:X76" si="36">IFERROR(VLOOKUP($F56,distrito059,19,0),"-")</f>
        <v>135</v>
      </c>
      <c r="Y56" s="30">
        <f t="shared" ref="Y56:Y76" si="37">IFERROR(VLOOKUP($F56,distrito059,20,0),"-")</f>
        <v>1.6749379652605458</v>
      </c>
    </row>
    <row r="57" spans="2:25" ht="15" customHeight="1" x14ac:dyDescent="0.25">
      <c r="B57" s="5" t="s">
        <v>122</v>
      </c>
      <c r="C57" s="7" t="s">
        <v>123</v>
      </c>
      <c r="D57" s="7" t="s">
        <v>126</v>
      </c>
      <c r="E57" s="7" t="s">
        <v>127</v>
      </c>
      <c r="F57" s="44">
        <v>10402</v>
      </c>
      <c r="G57" s="17">
        <f t="shared" si="19"/>
        <v>3282</v>
      </c>
      <c r="H57" s="25">
        <f t="shared" si="20"/>
        <v>1314</v>
      </c>
      <c r="I57" s="21">
        <f t="shared" si="21"/>
        <v>40.036563071297984</v>
      </c>
      <c r="J57" s="37">
        <f t="shared" si="22"/>
        <v>1968</v>
      </c>
      <c r="K57" s="25">
        <f t="shared" si="23"/>
        <v>1165</v>
      </c>
      <c r="L57" s="21">
        <f t="shared" si="24"/>
        <v>59.197154471544714</v>
      </c>
      <c r="M57" s="17">
        <f t="shared" si="25"/>
        <v>3282</v>
      </c>
      <c r="N57" s="25">
        <f t="shared" si="26"/>
        <v>225</v>
      </c>
      <c r="O57" s="30">
        <f t="shared" si="27"/>
        <v>6.8555758683729433</v>
      </c>
      <c r="P57" s="17">
        <f t="shared" si="28"/>
        <v>3282</v>
      </c>
      <c r="Q57" s="25">
        <f t="shared" si="29"/>
        <v>47</v>
      </c>
      <c r="R57" s="31">
        <f t="shared" si="30"/>
        <v>1.4320536258379037</v>
      </c>
      <c r="S57" s="25">
        <f t="shared" si="31"/>
        <v>2869</v>
      </c>
      <c r="T57" s="25">
        <f t="shared" si="32"/>
        <v>162</v>
      </c>
      <c r="U57" s="21">
        <f t="shared" si="33"/>
        <v>5.6465667479958173</v>
      </c>
      <c r="V57" s="37">
        <f t="shared" si="34"/>
        <v>266</v>
      </c>
      <c r="W57" s="31">
        <f t="shared" si="35"/>
        <v>8.1048141377209024</v>
      </c>
      <c r="X57" s="37">
        <f t="shared" si="36"/>
        <v>100</v>
      </c>
      <c r="Y57" s="30">
        <f t="shared" si="37"/>
        <v>3.0469226081657528</v>
      </c>
    </row>
    <row r="58" spans="2:25" ht="15" customHeight="1" x14ac:dyDescent="0.25">
      <c r="B58" s="5" t="s">
        <v>122</v>
      </c>
      <c r="C58" s="7" t="s">
        <v>123</v>
      </c>
      <c r="D58" s="7" t="s">
        <v>126</v>
      </c>
      <c r="E58" s="7" t="s">
        <v>128</v>
      </c>
      <c r="F58" s="44">
        <v>10403</v>
      </c>
      <c r="G58" s="17">
        <f t="shared" si="19"/>
        <v>4401</v>
      </c>
      <c r="H58" s="25">
        <f t="shared" si="20"/>
        <v>1617</v>
      </c>
      <c r="I58" s="21">
        <f t="shared" si="21"/>
        <v>36.741649625085209</v>
      </c>
      <c r="J58" s="37">
        <f t="shared" si="22"/>
        <v>2784</v>
      </c>
      <c r="K58" s="25">
        <f t="shared" si="23"/>
        <v>1592</v>
      </c>
      <c r="L58" s="21">
        <f t="shared" si="24"/>
        <v>57.18390804597702</v>
      </c>
      <c r="M58" s="17">
        <f t="shared" si="25"/>
        <v>4401</v>
      </c>
      <c r="N58" s="25">
        <f t="shared" si="26"/>
        <v>482</v>
      </c>
      <c r="O58" s="30">
        <f t="shared" si="27"/>
        <v>10.952056350829357</v>
      </c>
      <c r="P58" s="17">
        <f t="shared" si="28"/>
        <v>4401</v>
      </c>
      <c r="Q58" s="25">
        <f t="shared" si="29"/>
        <v>139</v>
      </c>
      <c r="R58" s="31">
        <f t="shared" si="30"/>
        <v>3.1583730970234036</v>
      </c>
      <c r="S58" s="25">
        <f t="shared" si="31"/>
        <v>4041</v>
      </c>
      <c r="T58" s="25">
        <f t="shared" si="32"/>
        <v>361</v>
      </c>
      <c r="U58" s="21">
        <f t="shared" si="33"/>
        <v>8.9334323187329865</v>
      </c>
      <c r="V58" s="37">
        <f t="shared" si="34"/>
        <v>166</v>
      </c>
      <c r="W58" s="31">
        <f t="shared" si="35"/>
        <v>3.7718700295387411</v>
      </c>
      <c r="X58" s="37">
        <f t="shared" si="36"/>
        <v>55</v>
      </c>
      <c r="Y58" s="30">
        <f t="shared" si="37"/>
        <v>1.249715973642354</v>
      </c>
    </row>
    <row r="59" spans="2:25" ht="15" customHeight="1" x14ac:dyDescent="0.25">
      <c r="B59" s="5" t="s">
        <v>122</v>
      </c>
      <c r="C59" s="7" t="s">
        <v>129</v>
      </c>
      <c r="D59" s="7" t="s">
        <v>130</v>
      </c>
      <c r="E59" s="7" t="s">
        <v>131</v>
      </c>
      <c r="F59" s="44">
        <v>160704</v>
      </c>
      <c r="G59" s="17">
        <f t="shared" si="19"/>
        <v>2088</v>
      </c>
      <c r="H59" s="25">
        <f t="shared" si="20"/>
        <v>625</v>
      </c>
      <c r="I59" s="21">
        <f t="shared" si="21"/>
        <v>29.932950191570885</v>
      </c>
      <c r="J59" s="37">
        <f t="shared" si="22"/>
        <v>1463</v>
      </c>
      <c r="K59" s="25">
        <f t="shared" si="23"/>
        <v>746</v>
      </c>
      <c r="L59" s="21">
        <f t="shared" si="24"/>
        <v>50.991114149008887</v>
      </c>
      <c r="M59" s="17">
        <f t="shared" si="25"/>
        <v>2088</v>
      </c>
      <c r="N59" s="25">
        <f t="shared" si="26"/>
        <v>216</v>
      </c>
      <c r="O59" s="30">
        <f t="shared" si="27"/>
        <v>10.344827586206897</v>
      </c>
      <c r="P59" s="17">
        <f t="shared" si="28"/>
        <v>2088</v>
      </c>
      <c r="Q59" s="25">
        <f t="shared" si="29"/>
        <v>118</v>
      </c>
      <c r="R59" s="31">
        <f t="shared" si="30"/>
        <v>5.6513409961685825</v>
      </c>
      <c r="S59" s="25">
        <f t="shared" si="31"/>
        <v>1826</v>
      </c>
      <c r="T59" s="25">
        <f t="shared" si="32"/>
        <v>204</v>
      </c>
      <c r="U59" s="21">
        <f t="shared" si="33"/>
        <v>11.171960569550931</v>
      </c>
      <c r="V59" s="37">
        <f t="shared" si="34"/>
        <v>108</v>
      </c>
      <c r="W59" s="31">
        <f t="shared" si="35"/>
        <v>5.1724137931034484</v>
      </c>
      <c r="X59" s="37">
        <f t="shared" si="36"/>
        <v>36</v>
      </c>
      <c r="Y59" s="30">
        <f t="shared" si="37"/>
        <v>1.7241379310344827</v>
      </c>
    </row>
    <row r="60" spans="2:25" ht="15" customHeight="1" x14ac:dyDescent="0.25">
      <c r="B60" s="5" t="s">
        <v>122</v>
      </c>
      <c r="C60" s="7" t="s">
        <v>129</v>
      </c>
      <c r="D60" s="7" t="s">
        <v>130</v>
      </c>
      <c r="E60" s="7" t="s">
        <v>132</v>
      </c>
      <c r="F60" s="44">
        <v>160706</v>
      </c>
      <c r="G60" s="17">
        <f t="shared" si="19"/>
        <v>3122</v>
      </c>
      <c r="H60" s="25">
        <f t="shared" si="20"/>
        <v>1241</v>
      </c>
      <c r="I60" s="21">
        <f t="shared" si="21"/>
        <v>39.750160153747601</v>
      </c>
      <c r="J60" s="37">
        <f t="shared" si="22"/>
        <v>1881</v>
      </c>
      <c r="K60" s="25">
        <f t="shared" si="23"/>
        <v>976</v>
      </c>
      <c r="L60" s="21">
        <f t="shared" si="24"/>
        <v>51.887293992557147</v>
      </c>
      <c r="M60" s="17">
        <f t="shared" si="25"/>
        <v>3122</v>
      </c>
      <c r="N60" s="25">
        <f t="shared" si="26"/>
        <v>502</v>
      </c>
      <c r="O60" s="30">
        <f t="shared" si="27"/>
        <v>16.079436258808457</v>
      </c>
      <c r="P60" s="17">
        <f t="shared" si="28"/>
        <v>3122</v>
      </c>
      <c r="Q60" s="25">
        <f t="shared" si="29"/>
        <v>262</v>
      </c>
      <c r="R60" s="31">
        <f t="shared" si="30"/>
        <v>8.3920563741191536</v>
      </c>
      <c r="S60" s="25">
        <f t="shared" si="31"/>
        <v>2631</v>
      </c>
      <c r="T60" s="25">
        <f t="shared" si="32"/>
        <v>376</v>
      </c>
      <c r="U60" s="21">
        <f t="shared" si="33"/>
        <v>14.291144051691374</v>
      </c>
      <c r="V60" s="37">
        <f t="shared" si="34"/>
        <v>161</v>
      </c>
      <c r="W60" s="31">
        <f t="shared" si="35"/>
        <v>5.1569506726457401</v>
      </c>
      <c r="X60" s="37">
        <f t="shared" si="36"/>
        <v>68</v>
      </c>
      <c r="Y60" s="30">
        <f t="shared" si="37"/>
        <v>2.1780909673286355</v>
      </c>
    </row>
    <row r="61" spans="2:25" ht="15" customHeight="1" x14ac:dyDescent="0.25">
      <c r="B61" s="5" t="s">
        <v>122</v>
      </c>
      <c r="C61" s="7" t="s">
        <v>129</v>
      </c>
      <c r="D61" s="7" t="s">
        <v>133</v>
      </c>
      <c r="E61" s="7" t="s">
        <v>134</v>
      </c>
      <c r="F61" s="44">
        <v>160107</v>
      </c>
      <c r="G61" s="17">
        <f t="shared" si="19"/>
        <v>2053</v>
      </c>
      <c r="H61" s="25">
        <f t="shared" si="20"/>
        <v>593</v>
      </c>
      <c r="I61" s="21">
        <f t="shared" si="21"/>
        <v>28.884559181685336</v>
      </c>
      <c r="J61" s="37">
        <f t="shared" si="22"/>
        <v>1460</v>
      </c>
      <c r="K61" s="25">
        <f t="shared" si="23"/>
        <v>781</v>
      </c>
      <c r="L61" s="21">
        <f t="shared" si="24"/>
        <v>53.493150684931514</v>
      </c>
      <c r="M61" s="17">
        <f t="shared" si="25"/>
        <v>2053</v>
      </c>
      <c r="N61" s="25">
        <f t="shared" si="26"/>
        <v>194</v>
      </c>
      <c r="O61" s="30">
        <f t="shared" si="27"/>
        <v>9.4495859717486592</v>
      </c>
      <c r="P61" s="17">
        <f t="shared" si="28"/>
        <v>2053</v>
      </c>
      <c r="Q61" s="25">
        <f t="shared" si="29"/>
        <v>62</v>
      </c>
      <c r="R61" s="31">
        <f t="shared" si="30"/>
        <v>3.0199707744763762</v>
      </c>
      <c r="S61" s="25">
        <f t="shared" si="31"/>
        <v>1896</v>
      </c>
      <c r="T61" s="25">
        <f t="shared" si="32"/>
        <v>161</v>
      </c>
      <c r="U61" s="21">
        <f t="shared" si="33"/>
        <v>8.4915611814345997</v>
      </c>
      <c r="V61" s="37">
        <f t="shared" si="34"/>
        <v>71</v>
      </c>
      <c r="W61" s="31">
        <f t="shared" si="35"/>
        <v>3.4583536288358503</v>
      </c>
      <c r="X61" s="37">
        <f t="shared" si="36"/>
        <v>24</v>
      </c>
      <c r="Y61" s="30">
        <f t="shared" si="37"/>
        <v>1.1690209449585971</v>
      </c>
    </row>
    <row r="62" spans="2:25" ht="15" customHeight="1" x14ac:dyDescent="0.25">
      <c r="B62" s="5" t="s">
        <v>122</v>
      </c>
      <c r="C62" s="7" t="s">
        <v>129</v>
      </c>
      <c r="D62" s="7" t="s">
        <v>133</v>
      </c>
      <c r="E62" s="7" t="s">
        <v>135</v>
      </c>
      <c r="F62" s="44">
        <v>160110</v>
      </c>
      <c r="G62" s="17">
        <f t="shared" si="19"/>
        <v>1183</v>
      </c>
      <c r="H62" s="25">
        <f t="shared" si="20"/>
        <v>418</v>
      </c>
      <c r="I62" s="21">
        <f t="shared" si="21"/>
        <v>35.333896872358409</v>
      </c>
      <c r="J62" s="37">
        <f t="shared" si="22"/>
        <v>765</v>
      </c>
      <c r="K62" s="25">
        <f t="shared" si="23"/>
        <v>453</v>
      </c>
      <c r="L62" s="21">
        <f t="shared" si="24"/>
        <v>59.215686274509807</v>
      </c>
      <c r="M62" s="17">
        <f t="shared" si="25"/>
        <v>1183</v>
      </c>
      <c r="N62" s="25">
        <f t="shared" si="26"/>
        <v>85</v>
      </c>
      <c r="O62" s="30">
        <f t="shared" si="27"/>
        <v>7.1851225697379544</v>
      </c>
      <c r="P62" s="17">
        <f t="shared" si="28"/>
        <v>1183</v>
      </c>
      <c r="Q62" s="25">
        <f t="shared" si="29"/>
        <v>14</v>
      </c>
      <c r="R62" s="31">
        <f t="shared" si="30"/>
        <v>1.1834319526627219</v>
      </c>
      <c r="S62" s="25">
        <f t="shared" si="31"/>
        <v>1116</v>
      </c>
      <c r="T62" s="25">
        <f t="shared" si="32"/>
        <v>59</v>
      </c>
      <c r="U62" s="21">
        <f t="shared" si="33"/>
        <v>5.2867383512544803</v>
      </c>
      <c r="V62" s="37">
        <f t="shared" si="34"/>
        <v>43</v>
      </c>
      <c r="W62" s="31">
        <f t="shared" si="35"/>
        <v>3.6348267117497892</v>
      </c>
      <c r="X62" s="37">
        <f t="shared" si="36"/>
        <v>10</v>
      </c>
      <c r="Y62" s="30">
        <f t="shared" si="37"/>
        <v>0.84530853761623004</v>
      </c>
    </row>
    <row r="63" spans="2:25" ht="15" customHeight="1" x14ac:dyDescent="0.25">
      <c r="B63" s="5" t="s">
        <v>122</v>
      </c>
      <c r="C63" s="7" t="s">
        <v>129</v>
      </c>
      <c r="D63" s="7" t="s">
        <v>129</v>
      </c>
      <c r="E63" s="7" t="s">
        <v>136</v>
      </c>
      <c r="F63" s="44">
        <v>160303</v>
      </c>
      <c r="G63" s="17">
        <f t="shared" si="19"/>
        <v>1337</v>
      </c>
      <c r="H63" s="25">
        <f t="shared" si="20"/>
        <v>457</v>
      </c>
      <c r="I63" s="21">
        <f t="shared" si="21"/>
        <v>34.181002243829468</v>
      </c>
      <c r="J63" s="37">
        <f t="shared" si="22"/>
        <v>880</v>
      </c>
      <c r="K63" s="25">
        <f t="shared" si="23"/>
        <v>468</v>
      </c>
      <c r="L63" s="21">
        <f t="shared" si="24"/>
        <v>53.181818181818187</v>
      </c>
      <c r="M63" s="17">
        <f t="shared" si="25"/>
        <v>1337</v>
      </c>
      <c r="N63" s="25">
        <f t="shared" si="26"/>
        <v>124</v>
      </c>
      <c r="O63" s="30">
        <f t="shared" si="27"/>
        <v>9.2744951383694847</v>
      </c>
      <c r="P63" s="17">
        <f t="shared" si="28"/>
        <v>1337</v>
      </c>
      <c r="Q63" s="25">
        <f t="shared" si="29"/>
        <v>73</v>
      </c>
      <c r="R63" s="31">
        <f t="shared" si="30"/>
        <v>5.459985041136874</v>
      </c>
      <c r="S63" s="25">
        <f t="shared" si="31"/>
        <v>1146</v>
      </c>
      <c r="T63" s="25">
        <f t="shared" si="32"/>
        <v>127</v>
      </c>
      <c r="U63" s="21">
        <f t="shared" si="33"/>
        <v>11.082024432809773</v>
      </c>
      <c r="V63" s="37">
        <f t="shared" si="34"/>
        <v>85</v>
      </c>
      <c r="W63" s="31">
        <f t="shared" si="35"/>
        <v>6.3575168287210175</v>
      </c>
      <c r="X63" s="37">
        <f t="shared" si="36"/>
        <v>33</v>
      </c>
      <c r="Y63" s="30">
        <f t="shared" si="37"/>
        <v>2.4682124158563949</v>
      </c>
    </row>
    <row r="64" spans="2:25" ht="15" customHeight="1" x14ac:dyDescent="0.25">
      <c r="B64" s="5" t="s">
        <v>122</v>
      </c>
      <c r="C64" s="7" t="s">
        <v>129</v>
      </c>
      <c r="D64" s="7" t="s">
        <v>129</v>
      </c>
      <c r="E64" s="7" t="s">
        <v>137</v>
      </c>
      <c r="F64" s="44">
        <v>160304</v>
      </c>
      <c r="G64" s="17">
        <f t="shared" si="19"/>
        <v>1489</v>
      </c>
      <c r="H64" s="25">
        <f t="shared" si="20"/>
        <v>391</v>
      </c>
      <c r="I64" s="21">
        <f t="shared" si="21"/>
        <v>26.259234385493617</v>
      </c>
      <c r="J64" s="37">
        <f t="shared" si="22"/>
        <v>1098</v>
      </c>
      <c r="K64" s="25">
        <f t="shared" si="23"/>
        <v>553</v>
      </c>
      <c r="L64" s="21">
        <f t="shared" si="24"/>
        <v>50.364298724954459</v>
      </c>
      <c r="M64" s="17">
        <f t="shared" si="25"/>
        <v>1489</v>
      </c>
      <c r="N64" s="25">
        <f t="shared" si="26"/>
        <v>98</v>
      </c>
      <c r="O64" s="30">
        <f t="shared" si="27"/>
        <v>6.5815983881799864</v>
      </c>
      <c r="P64" s="17">
        <f t="shared" si="28"/>
        <v>1489</v>
      </c>
      <c r="Q64" s="25">
        <f t="shared" si="29"/>
        <v>49</v>
      </c>
      <c r="R64" s="31">
        <f t="shared" si="30"/>
        <v>3.2907991940899932</v>
      </c>
      <c r="S64" s="25">
        <f t="shared" si="31"/>
        <v>1331</v>
      </c>
      <c r="T64" s="25">
        <f t="shared" si="32"/>
        <v>101</v>
      </c>
      <c r="U64" s="21">
        <f t="shared" si="33"/>
        <v>7.5882794891059353</v>
      </c>
      <c r="V64" s="37">
        <f t="shared" si="34"/>
        <v>91</v>
      </c>
      <c r="W64" s="31">
        <f t="shared" si="35"/>
        <v>6.1114842175957014</v>
      </c>
      <c r="X64" s="37">
        <f t="shared" si="36"/>
        <v>18</v>
      </c>
      <c r="Y64" s="30">
        <f t="shared" si="37"/>
        <v>1.2088650100738749</v>
      </c>
    </row>
    <row r="65" spans="2:25" ht="15" customHeight="1" x14ac:dyDescent="0.25">
      <c r="B65" s="5" t="s">
        <v>122</v>
      </c>
      <c r="C65" s="7" t="s">
        <v>129</v>
      </c>
      <c r="D65" s="7" t="s">
        <v>138</v>
      </c>
      <c r="E65" s="7" t="s">
        <v>139</v>
      </c>
      <c r="F65" s="44">
        <v>160401</v>
      </c>
      <c r="G65" s="17">
        <f t="shared" si="19"/>
        <v>2846</v>
      </c>
      <c r="H65" s="25">
        <f t="shared" si="20"/>
        <v>758</v>
      </c>
      <c r="I65" s="21">
        <f t="shared" si="21"/>
        <v>26.633872101194662</v>
      </c>
      <c r="J65" s="37">
        <f t="shared" si="22"/>
        <v>2088</v>
      </c>
      <c r="K65" s="25">
        <f t="shared" si="23"/>
        <v>1029</v>
      </c>
      <c r="L65" s="21">
        <f t="shared" si="24"/>
        <v>49.281609195402297</v>
      </c>
      <c r="M65" s="17">
        <f t="shared" si="25"/>
        <v>2846</v>
      </c>
      <c r="N65" s="25">
        <f t="shared" si="26"/>
        <v>252</v>
      </c>
      <c r="O65" s="30">
        <f t="shared" si="27"/>
        <v>8.854532677442025</v>
      </c>
      <c r="P65" s="17">
        <f t="shared" si="28"/>
        <v>2846</v>
      </c>
      <c r="Q65" s="25">
        <f t="shared" si="29"/>
        <v>147</v>
      </c>
      <c r="R65" s="31">
        <f t="shared" si="30"/>
        <v>5.1651440618411808</v>
      </c>
      <c r="S65" s="25">
        <f t="shared" si="31"/>
        <v>2510</v>
      </c>
      <c r="T65" s="25">
        <f t="shared" si="32"/>
        <v>273</v>
      </c>
      <c r="U65" s="21">
        <f t="shared" si="33"/>
        <v>10.876494023904383</v>
      </c>
      <c r="V65" s="37">
        <f t="shared" si="34"/>
        <v>143</v>
      </c>
      <c r="W65" s="31">
        <f t="shared" si="35"/>
        <v>5.0245959241040055</v>
      </c>
      <c r="X65" s="37">
        <f t="shared" si="36"/>
        <v>46</v>
      </c>
      <c r="Y65" s="30">
        <f t="shared" si="37"/>
        <v>1.6163035839775124</v>
      </c>
    </row>
    <row r="66" spans="2:25" ht="15" customHeight="1" x14ac:dyDescent="0.25">
      <c r="B66" s="5" t="s">
        <v>122</v>
      </c>
      <c r="C66" s="7" t="s">
        <v>129</v>
      </c>
      <c r="D66" s="7" t="s">
        <v>138</v>
      </c>
      <c r="E66" s="7" t="s">
        <v>140</v>
      </c>
      <c r="F66" s="44">
        <v>160403</v>
      </c>
      <c r="G66" s="17">
        <f t="shared" si="19"/>
        <v>1451</v>
      </c>
      <c r="H66" s="25">
        <f t="shared" si="20"/>
        <v>278</v>
      </c>
      <c r="I66" s="21">
        <f t="shared" si="21"/>
        <v>19.159200551343901</v>
      </c>
      <c r="J66" s="37">
        <f t="shared" si="22"/>
        <v>1173</v>
      </c>
      <c r="K66" s="25">
        <f t="shared" si="23"/>
        <v>468</v>
      </c>
      <c r="L66" s="21">
        <f t="shared" si="24"/>
        <v>39.897698209718669</v>
      </c>
      <c r="M66" s="17">
        <f t="shared" si="25"/>
        <v>1451</v>
      </c>
      <c r="N66" s="25">
        <f t="shared" si="26"/>
        <v>83</v>
      </c>
      <c r="O66" s="30">
        <f t="shared" si="27"/>
        <v>5.7201929703652654</v>
      </c>
      <c r="P66" s="17">
        <f t="shared" si="28"/>
        <v>1451</v>
      </c>
      <c r="Q66" s="25">
        <f t="shared" si="29"/>
        <v>48</v>
      </c>
      <c r="R66" s="31">
        <f t="shared" si="30"/>
        <v>3.3080634045485868</v>
      </c>
      <c r="S66" s="25">
        <f t="shared" si="31"/>
        <v>1304</v>
      </c>
      <c r="T66" s="25">
        <f t="shared" si="32"/>
        <v>101</v>
      </c>
      <c r="U66" s="21">
        <f t="shared" si="33"/>
        <v>7.7453987730061344</v>
      </c>
      <c r="V66" s="37">
        <f t="shared" si="34"/>
        <v>73</v>
      </c>
      <c r="W66" s="31">
        <f t="shared" si="35"/>
        <v>5.0310130944176432</v>
      </c>
      <c r="X66" s="37">
        <f t="shared" si="36"/>
        <v>26</v>
      </c>
      <c r="Y66" s="30">
        <f t="shared" si="37"/>
        <v>1.7918676774638183</v>
      </c>
    </row>
    <row r="67" spans="2:25" ht="15" customHeight="1" x14ac:dyDescent="0.25">
      <c r="B67" s="5" t="s">
        <v>122</v>
      </c>
      <c r="C67" s="7" t="s">
        <v>129</v>
      </c>
      <c r="D67" s="7" t="s">
        <v>141</v>
      </c>
      <c r="E67" s="7" t="s">
        <v>142</v>
      </c>
      <c r="F67" s="44">
        <v>160511</v>
      </c>
      <c r="G67" s="17">
        <f t="shared" si="19"/>
        <v>375</v>
      </c>
      <c r="H67" s="25">
        <f t="shared" si="20"/>
        <v>99</v>
      </c>
      <c r="I67" s="21">
        <f t="shared" si="21"/>
        <v>26.400000000000002</v>
      </c>
      <c r="J67" s="37">
        <f t="shared" si="22"/>
        <v>276</v>
      </c>
      <c r="K67" s="25">
        <f t="shared" si="23"/>
        <v>119</v>
      </c>
      <c r="L67" s="21">
        <f t="shared" si="24"/>
        <v>43.115942028985508</v>
      </c>
      <c r="M67" s="17">
        <f t="shared" si="25"/>
        <v>375</v>
      </c>
      <c r="N67" s="25">
        <f t="shared" si="26"/>
        <v>19</v>
      </c>
      <c r="O67" s="30">
        <f t="shared" si="27"/>
        <v>5.0666666666666664</v>
      </c>
      <c r="P67" s="17">
        <f t="shared" si="28"/>
        <v>375</v>
      </c>
      <c r="Q67" s="25">
        <f t="shared" si="29"/>
        <v>15</v>
      </c>
      <c r="R67" s="31">
        <f t="shared" si="30"/>
        <v>4</v>
      </c>
      <c r="S67" s="25">
        <f t="shared" si="31"/>
        <v>328</v>
      </c>
      <c r="T67" s="25">
        <f t="shared" si="32"/>
        <v>29</v>
      </c>
      <c r="U67" s="21">
        <f t="shared" si="33"/>
        <v>8.8414634146341466</v>
      </c>
      <c r="V67" s="37">
        <f t="shared" si="34"/>
        <v>25</v>
      </c>
      <c r="W67" s="31">
        <f t="shared" si="35"/>
        <v>6.666666666666667</v>
      </c>
      <c r="X67" s="37">
        <f t="shared" si="36"/>
        <v>7</v>
      </c>
      <c r="Y67" s="30">
        <f t="shared" si="37"/>
        <v>1.8666666666666669</v>
      </c>
    </row>
    <row r="68" spans="2:25" ht="15" customHeight="1" x14ac:dyDescent="0.25">
      <c r="B68" s="5" t="s">
        <v>122</v>
      </c>
      <c r="C68" s="7" t="s">
        <v>129</v>
      </c>
      <c r="D68" s="7" t="s">
        <v>143</v>
      </c>
      <c r="E68" s="7" t="s">
        <v>143</v>
      </c>
      <c r="F68" s="44">
        <v>160801</v>
      </c>
      <c r="G68" s="17">
        <f t="shared" si="19"/>
        <v>481</v>
      </c>
      <c r="H68" s="25">
        <f t="shared" si="20"/>
        <v>96</v>
      </c>
      <c r="I68" s="21">
        <f t="shared" si="21"/>
        <v>19.95841995841996</v>
      </c>
      <c r="J68" s="37">
        <f t="shared" si="22"/>
        <v>385</v>
      </c>
      <c r="K68" s="25">
        <f t="shared" si="23"/>
        <v>170</v>
      </c>
      <c r="L68" s="21">
        <f t="shared" si="24"/>
        <v>44.155844155844157</v>
      </c>
      <c r="M68" s="17">
        <f t="shared" si="25"/>
        <v>481</v>
      </c>
      <c r="N68" s="25">
        <f t="shared" si="26"/>
        <v>28</v>
      </c>
      <c r="O68" s="30">
        <f t="shared" si="27"/>
        <v>5.8212058212058215</v>
      </c>
      <c r="P68" s="17">
        <f t="shared" si="28"/>
        <v>481</v>
      </c>
      <c r="Q68" s="25">
        <f t="shared" si="29"/>
        <v>9</v>
      </c>
      <c r="R68" s="31">
        <f t="shared" si="30"/>
        <v>1.8711018711018712</v>
      </c>
      <c r="S68" s="25">
        <f t="shared" si="31"/>
        <v>441</v>
      </c>
      <c r="T68" s="25">
        <f t="shared" si="32"/>
        <v>33</v>
      </c>
      <c r="U68" s="21">
        <f t="shared" si="33"/>
        <v>7.4829931972789119</v>
      </c>
      <c r="V68" s="37">
        <f t="shared" si="34"/>
        <v>26</v>
      </c>
      <c r="W68" s="31">
        <f t="shared" si="35"/>
        <v>5.4054054054054053</v>
      </c>
      <c r="X68" s="37">
        <f t="shared" si="36"/>
        <v>5</v>
      </c>
      <c r="Y68" s="30">
        <f t="shared" si="37"/>
        <v>1.0395010395010396</v>
      </c>
    </row>
    <row r="69" spans="2:25" ht="15" customHeight="1" x14ac:dyDescent="0.25">
      <c r="B69" s="5" t="s">
        <v>122</v>
      </c>
      <c r="C69" s="7" t="s">
        <v>129</v>
      </c>
      <c r="D69" s="7" t="s">
        <v>143</v>
      </c>
      <c r="E69" s="7" t="s">
        <v>144</v>
      </c>
      <c r="F69" s="44">
        <v>160802</v>
      </c>
      <c r="G69" s="17">
        <f t="shared" si="19"/>
        <v>89</v>
      </c>
      <c r="H69" s="25">
        <f t="shared" si="20"/>
        <v>19</v>
      </c>
      <c r="I69" s="21">
        <f t="shared" si="21"/>
        <v>21.348314606741571</v>
      </c>
      <c r="J69" s="37">
        <f t="shared" si="22"/>
        <v>70</v>
      </c>
      <c r="K69" s="25">
        <f t="shared" si="23"/>
        <v>32</v>
      </c>
      <c r="L69" s="21">
        <f t="shared" si="24"/>
        <v>45.714285714285715</v>
      </c>
      <c r="M69" s="17">
        <f t="shared" si="25"/>
        <v>89</v>
      </c>
      <c r="N69" s="25">
        <f t="shared" si="26"/>
        <v>5</v>
      </c>
      <c r="O69" s="30">
        <f t="shared" si="27"/>
        <v>5.6179775280898872</v>
      </c>
      <c r="P69" s="17">
        <f t="shared" si="28"/>
        <v>89</v>
      </c>
      <c r="Q69" s="25">
        <f t="shared" si="29"/>
        <v>3</v>
      </c>
      <c r="R69" s="31">
        <f t="shared" si="30"/>
        <v>3.3707865168539324</v>
      </c>
      <c r="S69" s="25">
        <f t="shared" si="31"/>
        <v>83</v>
      </c>
      <c r="T69" s="25">
        <f t="shared" si="32"/>
        <v>10</v>
      </c>
      <c r="U69" s="21">
        <f t="shared" si="33"/>
        <v>12.048192771084338</v>
      </c>
      <c r="V69" s="37">
        <f t="shared" si="34"/>
        <v>2</v>
      </c>
      <c r="W69" s="31">
        <f t="shared" si="35"/>
        <v>2.2471910112359552</v>
      </c>
      <c r="X69" s="37">
        <f t="shared" si="36"/>
        <v>1</v>
      </c>
      <c r="Y69" s="30">
        <f t="shared" si="37"/>
        <v>1.1235955056179776</v>
      </c>
    </row>
    <row r="70" spans="2:25" ht="15" customHeight="1" x14ac:dyDescent="0.25">
      <c r="B70" s="5" t="s">
        <v>122</v>
      </c>
      <c r="C70" s="7" t="s">
        <v>129</v>
      </c>
      <c r="D70" s="7" t="s">
        <v>143</v>
      </c>
      <c r="E70" s="7" t="s">
        <v>145</v>
      </c>
      <c r="F70" s="44">
        <v>160803</v>
      </c>
      <c r="G70" s="17">
        <f t="shared" si="19"/>
        <v>436</v>
      </c>
      <c r="H70" s="25">
        <f t="shared" si="20"/>
        <v>132</v>
      </c>
      <c r="I70" s="21">
        <f t="shared" si="21"/>
        <v>30.275229357798167</v>
      </c>
      <c r="J70" s="37">
        <f t="shared" si="22"/>
        <v>304</v>
      </c>
      <c r="K70" s="25">
        <f t="shared" si="23"/>
        <v>142</v>
      </c>
      <c r="L70" s="21">
        <f t="shared" si="24"/>
        <v>46.710526315789473</v>
      </c>
      <c r="M70" s="17">
        <f t="shared" si="25"/>
        <v>436</v>
      </c>
      <c r="N70" s="25">
        <f t="shared" si="26"/>
        <v>53</v>
      </c>
      <c r="O70" s="30">
        <f t="shared" si="27"/>
        <v>12.155963302752294</v>
      </c>
      <c r="P70" s="17">
        <f t="shared" si="28"/>
        <v>436</v>
      </c>
      <c r="Q70" s="25">
        <f t="shared" si="29"/>
        <v>28</v>
      </c>
      <c r="R70" s="31">
        <f t="shared" si="30"/>
        <v>6.4220183486238538</v>
      </c>
      <c r="S70" s="25">
        <f t="shared" si="31"/>
        <v>381</v>
      </c>
      <c r="T70" s="25">
        <f t="shared" si="32"/>
        <v>54</v>
      </c>
      <c r="U70" s="21">
        <f t="shared" si="33"/>
        <v>14.173228346456693</v>
      </c>
      <c r="V70" s="37">
        <f t="shared" si="34"/>
        <v>23</v>
      </c>
      <c r="W70" s="31">
        <f t="shared" si="35"/>
        <v>5.2752293577981657</v>
      </c>
      <c r="X70" s="37">
        <f t="shared" si="36"/>
        <v>4</v>
      </c>
      <c r="Y70" s="30">
        <f t="shared" si="37"/>
        <v>0.91743119266055051</v>
      </c>
    </row>
    <row r="71" spans="2:25" ht="15" customHeight="1" x14ac:dyDescent="0.25">
      <c r="B71" s="5" t="s">
        <v>122</v>
      </c>
      <c r="C71" s="7" t="s">
        <v>129</v>
      </c>
      <c r="D71" s="7" t="s">
        <v>143</v>
      </c>
      <c r="E71" s="7" t="s">
        <v>146</v>
      </c>
      <c r="F71" s="44">
        <v>160804</v>
      </c>
      <c r="G71" s="17">
        <f t="shared" si="19"/>
        <v>263</v>
      </c>
      <c r="H71" s="25">
        <f t="shared" si="20"/>
        <v>55</v>
      </c>
      <c r="I71" s="21">
        <f t="shared" si="21"/>
        <v>20.912547528517113</v>
      </c>
      <c r="J71" s="37">
        <f t="shared" si="22"/>
        <v>208</v>
      </c>
      <c r="K71" s="25">
        <f t="shared" si="23"/>
        <v>86</v>
      </c>
      <c r="L71" s="21">
        <f t="shared" si="24"/>
        <v>41.346153846153847</v>
      </c>
      <c r="M71" s="17">
        <f t="shared" si="25"/>
        <v>263</v>
      </c>
      <c r="N71" s="25">
        <f t="shared" si="26"/>
        <v>15</v>
      </c>
      <c r="O71" s="30">
        <f t="shared" si="27"/>
        <v>5.7034220532319395</v>
      </c>
      <c r="P71" s="17">
        <f t="shared" si="28"/>
        <v>263</v>
      </c>
      <c r="Q71" s="25">
        <f t="shared" si="29"/>
        <v>9</v>
      </c>
      <c r="R71" s="31">
        <f t="shared" si="30"/>
        <v>3.4220532319391634</v>
      </c>
      <c r="S71" s="25">
        <f t="shared" si="31"/>
        <v>244</v>
      </c>
      <c r="T71" s="25">
        <f t="shared" si="32"/>
        <v>26</v>
      </c>
      <c r="U71" s="21">
        <f t="shared" si="33"/>
        <v>10.655737704918032</v>
      </c>
      <c r="V71" s="37">
        <f t="shared" si="34"/>
        <v>7</v>
      </c>
      <c r="W71" s="31">
        <f t="shared" si="35"/>
        <v>2.6615969581749046</v>
      </c>
      <c r="X71" s="37">
        <f t="shared" si="36"/>
        <v>3</v>
      </c>
      <c r="Y71" s="30">
        <f t="shared" si="37"/>
        <v>1.1406844106463878</v>
      </c>
    </row>
    <row r="72" spans="2:25" ht="15" customHeight="1" x14ac:dyDescent="0.25">
      <c r="B72" s="5" t="s">
        <v>122</v>
      </c>
      <c r="C72" s="7" t="s">
        <v>129</v>
      </c>
      <c r="D72" s="7" t="s">
        <v>141</v>
      </c>
      <c r="E72" s="7" t="s">
        <v>147</v>
      </c>
      <c r="F72" s="44">
        <v>160502</v>
      </c>
      <c r="G72" s="17">
        <f t="shared" si="19"/>
        <v>45</v>
      </c>
      <c r="H72" s="25">
        <f t="shared" si="20"/>
        <v>25</v>
      </c>
      <c r="I72" s="21">
        <f t="shared" si="21"/>
        <v>55.555555555555557</v>
      </c>
      <c r="J72" s="37">
        <f t="shared" si="22"/>
        <v>20</v>
      </c>
      <c r="K72" s="25">
        <f t="shared" si="23"/>
        <v>9</v>
      </c>
      <c r="L72" s="21">
        <f t="shared" si="24"/>
        <v>45</v>
      </c>
      <c r="M72" s="17">
        <f t="shared" si="25"/>
        <v>45</v>
      </c>
      <c r="N72" s="25">
        <f t="shared" si="26"/>
        <v>4</v>
      </c>
      <c r="O72" s="30">
        <f t="shared" si="27"/>
        <v>8.8888888888888893</v>
      </c>
      <c r="P72" s="17">
        <f t="shared" si="28"/>
        <v>45</v>
      </c>
      <c r="Q72" s="25">
        <f t="shared" si="29"/>
        <v>2</v>
      </c>
      <c r="R72" s="31">
        <f t="shared" si="30"/>
        <v>4.4444444444444446</v>
      </c>
      <c r="S72" s="25">
        <f t="shared" si="31"/>
        <v>37</v>
      </c>
      <c r="T72" s="25">
        <f t="shared" si="32"/>
        <v>3</v>
      </c>
      <c r="U72" s="21">
        <f t="shared" si="33"/>
        <v>8.1081081081081088</v>
      </c>
      <c r="V72" s="37">
        <f t="shared" si="34"/>
        <v>6</v>
      </c>
      <c r="W72" s="31">
        <f t="shared" si="35"/>
        <v>13.333333333333334</v>
      </c>
      <c r="X72" s="37">
        <f t="shared" si="36"/>
        <v>0</v>
      </c>
      <c r="Y72" s="30">
        <f t="shared" si="37"/>
        <v>0</v>
      </c>
    </row>
    <row r="73" spans="2:25" ht="15" customHeight="1" x14ac:dyDescent="0.25">
      <c r="B73" s="5" t="s">
        <v>122</v>
      </c>
      <c r="C73" s="7" t="s">
        <v>148</v>
      </c>
      <c r="D73" s="7" t="s">
        <v>149</v>
      </c>
      <c r="E73" s="7" t="s">
        <v>150</v>
      </c>
      <c r="F73" s="44">
        <v>250101</v>
      </c>
      <c r="G73" s="17">
        <f t="shared" si="19"/>
        <v>10871</v>
      </c>
      <c r="H73" s="25">
        <f t="shared" si="20"/>
        <v>1867</v>
      </c>
      <c r="I73" s="21">
        <f t="shared" si="21"/>
        <v>17.174133014442095</v>
      </c>
      <c r="J73" s="37">
        <f t="shared" si="22"/>
        <v>9004</v>
      </c>
      <c r="K73" s="25">
        <f t="shared" si="23"/>
        <v>3443</v>
      </c>
      <c r="L73" s="21">
        <f t="shared" si="24"/>
        <v>38.238560639715679</v>
      </c>
      <c r="M73" s="17">
        <f t="shared" si="25"/>
        <v>10871</v>
      </c>
      <c r="N73" s="25">
        <f t="shared" si="26"/>
        <v>773</v>
      </c>
      <c r="O73" s="30">
        <f t="shared" si="27"/>
        <v>7.1106613926961648</v>
      </c>
      <c r="P73" s="17">
        <f t="shared" si="28"/>
        <v>10871</v>
      </c>
      <c r="Q73" s="25">
        <f t="shared" si="29"/>
        <v>335</v>
      </c>
      <c r="R73" s="31">
        <f t="shared" si="30"/>
        <v>3.0815932296936808</v>
      </c>
      <c r="S73" s="25">
        <f t="shared" si="31"/>
        <v>9978</v>
      </c>
      <c r="T73" s="25">
        <f t="shared" si="32"/>
        <v>1200</v>
      </c>
      <c r="U73" s="21">
        <f t="shared" si="33"/>
        <v>12.026458208057727</v>
      </c>
      <c r="V73" s="37">
        <f t="shared" si="34"/>
        <v>408</v>
      </c>
      <c r="W73" s="31">
        <f t="shared" si="35"/>
        <v>3.7531045901940945</v>
      </c>
      <c r="X73" s="37">
        <f t="shared" si="36"/>
        <v>150</v>
      </c>
      <c r="Y73" s="30">
        <f t="shared" si="37"/>
        <v>1.3798178640419465</v>
      </c>
    </row>
    <row r="74" spans="2:25" ht="15" customHeight="1" x14ac:dyDescent="0.25">
      <c r="B74" s="5" t="s">
        <v>122</v>
      </c>
      <c r="C74" s="7" t="s">
        <v>148</v>
      </c>
      <c r="D74" s="7" t="s">
        <v>149</v>
      </c>
      <c r="E74" s="7" t="s">
        <v>151</v>
      </c>
      <c r="F74" s="44">
        <v>250104</v>
      </c>
      <c r="G74" s="17">
        <f t="shared" si="19"/>
        <v>1968</v>
      </c>
      <c r="H74" s="25">
        <f t="shared" si="20"/>
        <v>718</v>
      </c>
      <c r="I74" s="21">
        <f t="shared" si="21"/>
        <v>36.483739837398375</v>
      </c>
      <c r="J74" s="37">
        <f t="shared" si="22"/>
        <v>1250</v>
      </c>
      <c r="K74" s="25">
        <f t="shared" si="23"/>
        <v>681</v>
      </c>
      <c r="L74" s="21">
        <f t="shared" si="24"/>
        <v>54.48</v>
      </c>
      <c r="M74" s="17">
        <f t="shared" si="25"/>
        <v>1968</v>
      </c>
      <c r="N74" s="25">
        <f t="shared" si="26"/>
        <v>184</v>
      </c>
      <c r="O74" s="30">
        <f t="shared" si="27"/>
        <v>9.3495934959349594</v>
      </c>
      <c r="P74" s="17">
        <f t="shared" si="28"/>
        <v>1968</v>
      </c>
      <c r="Q74" s="25">
        <f t="shared" si="29"/>
        <v>66</v>
      </c>
      <c r="R74" s="31">
        <f t="shared" si="30"/>
        <v>3.3536585365853662</v>
      </c>
      <c r="S74" s="25">
        <f t="shared" si="31"/>
        <v>1767</v>
      </c>
      <c r="T74" s="25">
        <f t="shared" si="32"/>
        <v>133</v>
      </c>
      <c r="U74" s="21">
        <f t="shared" si="33"/>
        <v>7.5268817204301079</v>
      </c>
      <c r="V74" s="37">
        <f t="shared" si="34"/>
        <v>91</v>
      </c>
      <c r="W74" s="31">
        <f t="shared" si="35"/>
        <v>4.6239837398373984</v>
      </c>
      <c r="X74" s="37">
        <f t="shared" si="36"/>
        <v>44</v>
      </c>
      <c r="Y74" s="30">
        <f t="shared" si="37"/>
        <v>2.2357723577235773</v>
      </c>
    </row>
    <row r="75" spans="2:25" ht="15" customHeight="1" x14ac:dyDescent="0.25">
      <c r="B75" s="5" t="s">
        <v>122</v>
      </c>
      <c r="C75" s="7" t="s">
        <v>148</v>
      </c>
      <c r="D75" s="7" t="s">
        <v>152</v>
      </c>
      <c r="E75" s="7" t="s">
        <v>153</v>
      </c>
      <c r="F75" s="44">
        <v>250204</v>
      </c>
      <c r="G75" s="17">
        <f t="shared" si="19"/>
        <v>401</v>
      </c>
      <c r="H75" s="25">
        <f t="shared" si="20"/>
        <v>171</v>
      </c>
      <c r="I75" s="21">
        <f t="shared" si="21"/>
        <v>42.643391521197003</v>
      </c>
      <c r="J75" s="37">
        <f t="shared" si="22"/>
        <v>230</v>
      </c>
      <c r="K75" s="25">
        <f t="shared" si="23"/>
        <v>155</v>
      </c>
      <c r="L75" s="21">
        <f t="shared" si="24"/>
        <v>67.391304347826093</v>
      </c>
      <c r="M75" s="17">
        <f t="shared" si="25"/>
        <v>401</v>
      </c>
      <c r="N75" s="25">
        <f t="shared" si="26"/>
        <v>67</v>
      </c>
      <c r="O75" s="30">
        <f t="shared" si="27"/>
        <v>16.708229426433917</v>
      </c>
      <c r="P75" s="17">
        <f t="shared" si="28"/>
        <v>401</v>
      </c>
      <c r="Q75" s="25">
        <f t="shared" si="29"/>
        <v>31</v>
      </c>
      <c r="R75" s="31">
        <f t="shared" si="30"/>
        <v>7.7306733167082298</v>
      </c>
      <c r="S75" s="25">
        <f t="shared" si="31"/>
        <v>339</v>
      </c>
      <c r="T75" s="25">
        <f t="shared" si="32"/>
        <v>43</v>
      </c>
      <c r="U75" s="21">
        <f t="shared" si="33"/>
        <v>12.684365781710916</v>
      </c>
      <c r="V75" s="37">
        <f t="shared" si="34"/>
        <v>25</v>
      </c>
      <c r="W75" s="31">
        <f t="shared" si="35"/>
        <v>6.2344139650872821</v>
      </c>
      <c r="X75" s="37">
        <f t="shared" si="36"/>
        <v>6</v>
      </c>
      <c r="Y75" s="30">
        <f t="shared" si="37"/>
        <v>1.4962593516209477</v>
      </c>
    </row>
    <row r="76" spans="2:25" ht="15" customHeight="1" thickBot="1" x14ac:dyDescent="0.3">
      <c r="B76" s="5" t="s">
        <v>122</v>
      </c>
      <c r="C76" s="7" t="s">
        <v>148</v>
      </c>
      <c r="D76" s="7" t="s">
        <v>154</v>
      </c>
      <c r="E76" s="7" t="s">
        <v>154</v>
      </c>
      <c r="F76" s="44">
        <v>250401</v>
      </c>
      <c r="G76" s="17">
        <f t="shared" si="19"/>
        <v>464</v>
      </c>
      <c r="H76" s="25">
        <f t="shared" si="20"/>
        <v>203</v>
      </c>
      <c r="I76" s="21">
        <f t="shared" si="21"/>
        <v>43.75</v>
      </c>
      <c r="J76" s="37">
        <f t="shared" si="22"/>
        <v>261</v>
      </c>
      <c r="K76" s="25">
        <f t="shared" si="23"/>
        <v>147</v>
      </c>
      <c r="L76" s="21">
        <f t="shared" si="24"/>
        <v>56.321839080459768</v>
      </c>
      <c r="M76" s="17">
        <f t="shared" si="25"/>
        <v>464</v>
      </c>
      <c r="N76" s="25">
        <f t="shared" si="26"/>
        <v>49</v>
      </c>
      <c r="O76" s="30">
        <f t="shared" si="27"/>
        <v>10.560344827586206</v>
      </c>
      <c r="P76" s="17">
        <f t="shared" si="28"/>
        <v>464</v>
      </c>
      <c r="Q76" s="25">
        <f t="shared" si="29"/>
        <v>9</v>
      </c>
      <c r="R76" s="31">
        <f t="shared" si="30"/>
        <v>1.9396551724137931</v>
      </c>
      <c r="S76" s="25">
        <f t="shared" si="31"/>
        <v>400</v>
      </c>
      <c r="T76" s="25">
        <f t="shared" si="32"/>
        <v>28</v>
      </c>
      <c r="U76" s="21">
        <f t="shared" si="33"/>
        <v>7.0000000000000009</v>
      </c>
      <c r="V76" s="37">
        <f t="shared" si="34"/>
        <v>43</v>
      </c>
      <c r="W76" s="31">
        <f t="shared" si="35"/>
        <v>9.2672413793103452</v>
      </c>
      <c r="X76" s="37">
        <f t="shared" si="36"/>
        <v>12</v>
      </c>
      <c r="Y76" s="30">
        <f t="shared" si="37"/>
        <v>2.5862068965517242</v>
      </c>
    </row>
    <row r="77" spans="2:25" ht="15" customHeight="1" thickBot="1" x14ac:dyDescent="0.3">
      <c r="B77" s="81"/>
      <c r="C77" s="71"/>
      <c r="D77" s="71" t="str">
        <f>UPPER(_xlfn.CONCAT("Total ",B76))</f>
        <v>TOTAL ZONA AMAZÓNICA FLUVIAL</v>
      </c>
      <c r="E77" s="71"/>
      <c r="F77" s="82"/>
      <c r="G77" s="19">
        <f>SUM(G56:G76)</f>
        <v>46705</v>
      </c>
      <c r="H77" s="27">
        <f>SUM(H56:H76)</f>
        <v>13975</v>
      </c>
      <c r="I77" s="23">
        <f>H77/G77*100</f>
        <v>29.921849909003317</v>
      </c>
      <c r="J77" s="39">
        <f>SUM(J56:J76)</f>
        <v>32730</v>
      </c>
      <c r="K77" s="27">
        <f>SUM(K56:K76)</f>
        <v>16203</v>
      </c>
      <c r="L77" s="23">
        <f>K77/J77*100</f>
        <v>49.505041246562783</v>
      </c>
      <c r="M77" s="19">
        <f>SUM(M56:M76)</f>
        <v>46705</v>
      </c>
      <c r="N77" s="27">
        <f>SUM(N56:N76)</f>
        <v>3910</v>
      </c>
      <c r="O77" s="34">
        <f>N77/M77*100</f>
        <v>8.3716946793705169</v>
      </c>
      <c r="P77" s="19">
        <f>SUM(P56:P76)</f>
        <v>46705</v>
      </c>
      <c r="Q77" s="27">
        <f>SUM(Q56:Q76)</f>
        <v>1601</v>
      </c>
      <c r="R77" s="35">
        <f>Q77/P77*100</f>
        <v>3.4278985119366236</v>
      </c>
      <c r="S77" s="70">
        <f>SUM(S56:S76)</f>
        <v>41933</v>
      </c>
      <c r="T77" s="19">
        <f>SUM(T56:T76)</f>
        <v>3887</v>
      </c>
      <c r="U77" s="35">
        <f>T77/S77*100</f>
        <v>9.2695490425202109</v>
      </c>
      <c r="V77" s="39">
        <f>SUM(V56:V76)</f>
        <v>2388</v>
      </c>
      <c r="W77" s="35">
        <f>V77/P77*100</f>
        <v>5.1129429397280806</v>
      </c>
      <c r="X77" s="39">
        <f>SUM(X56:X76)</f>
        <v>783</v>
      </c>
      <c r="Y77" s="34">
        <f>X77/P77*100</f>
        <v>1.6764800342575743</v>
      </c>
    </row>
    <row r="78" spans="2:25" ht="15" customHeight="1" x14ac:dyDescent="0.25">
      <c r="B78" s="5" t="s">
        <v>47</v>
      </c>
      <c r="C78" s="7" t="s">
        <v>155</v>
      </c>
      <c r="D78" s="7" t="s">
        <v>156</v>
      </c>
      <c r="E78" s="7" t="s">
        <v>157</v>
      </c>
      <c r="F78" s="44">
        <v>60903</v>
      </c>
      <c r="G78" s="17">
        <f t="shared" ref="G78:G92" si="38">IFERROR(VLOOKUP($F78,distrito059,2,0),"-")</f>
        <v>1689</v>
      </c>
      <c r="H78" s="25">
        <f t="shared" ref="H78:H92" si="39">IFERROR(VLOOKUP($F78,distrito059,3,0),"-")</f>
        <v>265</v>
      </c>
      <c r="I78" s="21">
        <f t="shared" ref="I78:I92" si="40">IFERROR(VLOOKUP($F78,distrito059,4,0),"-")</f>
        <v>15.689757252812313</v>
      </c>
      <c r="J78" s="37">
        <f t="shared" ref="J78:J92" si="41">IFERROR(VLOOKUP($F78,distrito059,5,0),"-")</f>
        <v>1424</v>
      </c>
      <c r="K78" s="25">
        <f t="shared" ref="K78:K92" si="42">IFERROR(VLOOKUP($F78,distrito059,6,0),"-")</f>
        <v>581</v>
      </c>
      <c r="L78" s="21">
        <f t="shared" ref="L78:L92" si="43">IFERROR(VLOOKUP($F78,distrito059,7,0),"-")</f>
        <v>40.800561797752813</v>
      </c>
      <c r="M78" s="17">
        <f t="shared" ref="M78:M92" si="44">IFERROR(VLOOKUP($F78,distrito059,8,0),"-")</f>
        <v>1689</v>
      </c>
      <c r="N78" s="25">
        <f t="shared" ref="N78:N92" si="45">IFERROR(VLOOKUP($F78,distrito059,9,0),"-")</f>
        <v>69</v>
      </c>
      <c r="O78" s="30">
        <f t="shared" ref="O78:O92" si="46">IFERROR(VLOOKUP($F78,distrito059,10,0),"-")</f>
        <v>4.0852575488454708</v>
      </c>
      <c r="P78" s="17">
        <f t="shared" ref="P78:P92" si="47">IFERROR(VLOOKUP($F78,distrito059,11,0),"-")</f>
        <v>1689</v>
      </c>
      <c r="Q78" s="25">
        <f t="shared" ref="Q78:Q92" si="48">IFERROR(VLOOKUP($F78,distrito059,12,0),"-")</f>
        <v>39</v>
      </c>
      <c r="R78" s="31">
        <f t="shared" ref="R78:R92" si="49">IFERROR(VLOOKUP($F78,distrito059,13,0),"-")</f>
        <v>2.3090586145648313</v>
      </c>
      <c r="S78" s="25">
        <f t="shared" ref="S78:S92" si="50">IFERROR(VLOOKUP($F78,distrito059,14,0),"-")</f>
        <v>1550</v>
      </c>
      <c r="T78" s="25">
        <f t="shared" ref="T78:T92" si="51">IFERROR(VLOOKUP($F78,distrito059,15,0),"-")</f>
        <v>126</v>
      </c>
      <c r="U78" s="21">
        <f t="shared" ref="U78:U92" si="52">IFERROR(VLOOKUP($F78,distrito059,16,0),"-")</f>
        <v>8.129032258064516</v>
      </c>
      <c r="V78" s="37">
        <f t="shared" ref="V78:V92" si="53">IFERROR(VLOOKUP($F78,distrito059,17,0),"-")</f>
        <v>82</v>
      </c>
      <c r="W78" s="31">
        <f t="shared" ref="W78:W92" si="54">IFERROR(VLOOKUP($F78,distrito059,18,0),"-")</f>
        <v>4.8549437537004145</v>
      </c>
      <c r="X78" s="37">
        <f t="shared" ref="X78:X92" si="55">IFERROR(VLOOKUP($F78,distrito059,19,0),"-")</f>
        <v>18</v>
      </c>
      <c r="Y78" s="30">
        <f t="shared" ref="Y78:Y92" si="56">IFERROR(VLOOKUP($F78,distrito059,20,0),"-")</f>
        <v>1.0657193605683837</v>
      </c>
    </row>
    <row r="79" spans="2:25" ht="15" customHeight="1" x14ac:dyDescent="0.25">
      <c r="B79" s="5" t="s">
        <v>47</v>
      </c>
      <c r="C79" s="7" t="s">
        <v>155</v>
      </c>
      <c r="D79" s="7" t="s">
        <v>156</v>
      </c>
      <c r="E79" s="7" t="s">
        <v>158</v>
      </c>
      <c r="F79" s="44">
        <v>60906</v>
      </c>
      <c r="G79" s="17">
        <f t="shared" si="38"/>
        <v>1870</v>
      </c>
      <c r="H79" s="25">
        <f t="shared" si="39"/>
        <v>393</v>
      </c>
      <c r="I79" s="21">
        <f t="shared" si="40"/>
        <v>21.016042780748663</v>
      </c>
      <c r="J79" s="37">
        <f t="shared" si="41"/>
        <v>1477</v>
      </c>
      <c r="K79" s="25">
        <f t="shared" si="42"/>
        <v>669</v>
      </c>
      <c r="L79" s="21">
        <f t="shared" si="43"/>
        <v>45.294515910629656</v>
      </c>
      <c r="M79" s="17">
        <f t="shared" si="44"/>
        <v>1870</v>
      </c>
      <c r="N79" s="25">
        <f t="shared" si="45"/>
        <v>88</v>
      </c>
      <c r="O79" s="30">
        <f t="shared" si="46"/>
        <v>4.7058823529411766</v>
      </c>
      <c r="P79" s="17">
        <f t="shared" si="47"/>
        <v>1870</v>
      </c>
      <c r="Q79" s="25">
        <f t="shared" si="48"/>
        <v>33</v>
      </c>
      <c r="R79" s="31">
        <f t="shared" si="49"/>
        <v>1.7647058823529411</v>
      </c>
      <c r="S79" s="25">
        <f t="shared" si="50"/>
        <v>1751</v>
      </c>
      <c r="T79" s="25">
        <f t="shared" si="51"/>
        <v>106</v>
      </c>
      <c r="U79" s="21">
        <f t="shared" si="52"/>
        <v>6.0536836093660762</v>
      </c>
      <c r="V79" s="37">
        <f t="shared" si="53"/>
        <v>76</v>
      </c>
      <c r="W79" s="31">
        <f t="shared" si="54"/>
        <v>4.0641711229946527</v>
      </c>
      <c r="X79" s="37">
        <f t="shared" si="55"/>
        <v>10</v>
      </c>
      <c r="Y79" s="30">
        <f t="shared" si="56"/>
        <v>0.53475935828876997</v>
      </c>
    </row>
    <row r="80" spans="2:25" ht="15" customHeight="1" x14ac:dyDescent="0.25">
      <c r="B80" s="5" t="s">
        <v>47</v>
      </c>
      <c r="C80" s="7" t="s">
        <v>155</v>
      </c>
      <c r="D80" s="7" t="s">
        <v>156</v>
      </c>
      <c r="E80" s="7" t="s">
        <v>156</v>
      </c>
      <c r="F80" s="44">
        <v>60901</v>
      </c>
      <c r="G80" s="17">
        <f t="shared" si="38"/>
        <v>3024</v>
      </c>
      <c r="H80" s="25">
        <f t="shared" si="39"/>
        <v>740</v>
      </c>
      <c r="I80" s="21">
        <f t="shared" si="40"/>
        <v>24.470899470899472</v>
      </c>
      <c r="J80" s="37">
        <f t="shared" si="41"/>
        <v>2284</v>
      </c>
      <c r="K80" s="25">
        <f t="shared" si="42"/>
        <v>1186</v>
      </c>
      <c r="L80" s="21">
        <f t="shared" si="43"/>
        <v>51.926444833625219</v>
      </c>
      <c r="M80" s="17">
        <f t="shared" si="44"/>
        <v>3024</v>
      </c>
      <c r="N80" s="25">
        <f t="shared" si="45"/>
        <v>197</v>
      </c>
      <c r="O80" s="30">
        <f t="shared" si="46"/>
        <v>6.5145502645502642</v>
      </c>
      <c r="P80" s="17">
        <f t="shared" si="47"/>
        <v>3024</v>
      </c>
      <c r="Q80" s="25">
        <f t="shared" si="48"/>
        <v>42</v>
      </c>
      <c r="R80" s="31">
        <f t="shared" si="49"/>
        <v>1.3888888888888888</v>
      </c>
      <c r="S80" s="25">
        <f t="shared" si="50"/>
        <v>2829</v>
      </c>
      <c r="T80" s="25">
        <f t="shared" si="51"/>
        <v>198</v>
      </c>
      <c r="U80" s="21">
        <f t="shared" si="52"/>
        <v>6.9989395546129369</v>
      </c>
      <c r="V80" s="37">
        <f t="shared" si="53"/>
        <v>119</v>
      </c>
      <c r="W80" s="31">
        <f t="shared" si="54"/>
        <v>3.9351851851851851</v>
      </c>
      <c r="X80" s="37">
        <f t="shared" si="55"/>
        <v>34</v>
      </c>
      <c r="Y80" s="30">
        <f t="shared" si="56"/>
        <v>1.1243386243386242</v>
      </c>
    </row>
    <row r="81" spans="2:25" ht="15" customHeight="1" x14ac:dyDescent="0.25">
      <c r="B81" s="5" t="s">
        <v>47</v>
      </c>
      <c r="C81" s="7" t="s">
        <v>155</v>
      </c>
      <c r="D81" s="7" t="s">
        <v>156</v>
      </c>
      <c r="E81" s="7" t="s">
        <v>159</v>
      </c>
      <c r="F81" s="44">
        <v>60905</v>
      </c>
      <c r="G81" s="17">
        <f t="shared" si="38"/>
        <v>983</v>
      </c>
      <c r="H81" s="25">
        <f t="shared" si="39"/>
        <v>238</v>
      </c>
      <c r="I81" s="21">
        <f t="shared" si="40"/>
        <v>24.211597151576804</v>
      </c>
      <c r="J81" s="37">
        <f t="shared" si="41"/>
        <v>745</v>
      </c>
      <c r="K81" s="25">
        <f t="shared" si="42"/>
        <v>380</v>
      </c>
      <c r="L81" s="21">
        <f t="shared" si="43"/>
        <v>51.006711409395976</v>
      </c>
      <c r="M81" s="17">
        <f t="shared" si="44"/>
        <v>983</v>
      </c>
      <c r="N81" s="25">
        <f t="shared" si="45"/>
        <v>53</v>
      </c>
      <c r="O81" s="30">
        <f t="shared" si="46"/>
        <v>5.3916581892166837</v>
      </c>
      <c r="P81" s="17">
        <f t="shared" si="47"/>
        <v>983</v>
      </c>
      <c r="Q81" s="25">
        <f t="shared" si="48"/>
        <v>24</v>
      </c>
      <c r="R81" s="31">
        <f t="shared" si="49"/>
        <v>2.4415055951169888</v>
      </c>
      <c r="S81" s="25">
        <f t="shared" si="50"/>
        <v>908</v>
      </c>
      <c r="T81" s="25">
        <f t="shared" si="51"/>
        <v>66</v>
      </c>
      <c r="U81" s="21">
        <f t="shared" si="52"/>
        <v>7.2687224669603516</v>
      </c>
      <c r="V81" s="37">
        <f t="shared" si="53"/>
        <v>31</v>
      </c>
      <c r="W81" s="31">
        <f t="shared" si="54"/>
        <v>3.1536113936927768</v>
      </c>
      <c r="X81" s="37">
        <f t="shared" si="55"/>
        <v>20</v>
      </c>
      <c r="Y81" s="30">
        <f t="shared" si="56"/>
        <v>2.0345879959308242</v>
      </c>
    </row>
    <row r="82" spans="2:25" ht="15" customHeight="1" x14ac:dyDescent="0.25">
      <c r="B82" s="5" t="s">
        <v>47</v>
      </c>
      <c r="C82" s="7" t="s">
        <v>160</v>
      </c>
      <c r="D82" s="7" t="s">
        <v>161</v>
      </c>
      <c r="E82" s="7" t="s">
        <v>161</v>
      </c>
      <c r="F82" s="44">
        <v>200201</v>
      </c>
      <c r="G82" s="17">
        <f t="shared" si="38"/>
        <v>2926</v>
      </c>
      <c r="H82" s="25">
        <f t="shared" si="39"/>
        <v>893</v>
      </c>
      <c r="I82" s="21">
        <f t="shared" si="40"/>
        <v>30.519480519480517</v>
      </c>
      <c r="J82" s="37">
        <f t="shared" si="41"/>
        <v>2033</v>
      </c>
      <c r="K82" s="25">
        <f t="shared" si="42"/>
        <v>1085</v>
      </c>
      <c r="L82" s="21">
        <f t="shared" si="43"/>
        <v>53.369404820462371</v>
      </c>
      <c r="M82" s="17">
        <f t="shared" si="44"/>
        <v>2926</v>
      </c>
      <c r="N82" s="25">
        <f t="shared" si="45"/>
        <v>241</v>
      </c>
      <c r="O82" s="30">
        <f t="shared" si="46"/>
        <v>8.2365003417635005</v>
      </c>
      <c r="P82" s="17">
        <f t="shared" si="47"/>
        <v>2926</v>
      </c>
      <c r="Q82" s="25">
        <f t="shared" si="48"/>
        <v>75</v>
      </c>
      <c r="R82" s="31">
        <f t="shared" si="49"/>
        <v>2.563226247436774</v>
      </c>
      <c r="S82" s="25">
        <f t="shared" si="50"/>
        <v>2734</v>
      </c>
      <c r="T82" s="25">
        <f t="shared" si="51"/>
        <v>271</v>
      </c>
      <c r="U82" s="21">
        <f t="shared" si="52"/>
        <v>9.9122165325530371</v>
      </c>
      <c r="V82" s="37">
        <f t="shared" si="53"/>
        <v>88</v>
      </c>
      <c r="W82" s="31">
        <f t="shared" si="54"/>
        <v>3.007518796992481</v>
      </c>
      <c r="X82" s="37">
        <f t="shared" si="55"/>
        <v>29</v>
      </c>
      <c r="Y82" s="30">
        <f t="shared" si="56"/>
        <v>0.99111414900888584</v>
      </c>
    </row>
    <row r="83" spans="2:25" ht="15" customHeight="1" x14ac:dyDescent="0.25">
      <c r="B83" s="5" t="s">
        <v>47</v>
      </c>
      <c r="C83" s="7" t="s">
        <v>160</v>
      </c>
      <c r="D83" s="7" t="s">
        <v>161</v>
      </c>
      <c r="E83" s="7" t="s">
        <v>162</v>
      </c>
      <c r="F83" s="44">
        <v>200203</v>
      </c>
      <c r="G83" s="17">
        <f t="shared" si="38"/>
        <v>241</v>
      </c>
      <c r="H83" s="25">
        <f t="shared" si="39"/>
        <v>49</v>
      </c>
      <c r="I83" s="21">
        <f t="shared" si="40"/>
        <v>20.331950207468878</v>
      </c>
      <c r="J83" s="37">
        <f t="shared" si="41"/>
        <v>192</v>
      </c>
      <c r="K83" s="25">
        <f t="shared" si="42"/>
        <v>74</v>
      </c>
      <c r="L83" s="21">
        <f t="shared" si="43"/>
        <v>38.541666666666671</v>
      </c>
      <c r="M83" s="17">
        <f t="shared" si="44"/>
        <v>241</v>
      </c>
      <c r="N83" s="25">
        <f t="shared" si="45"/>
        <v>16</v>
      </c>
      <c r="O83" s="30">
        <f t="shared" si="46"/>
        <v>6.6390041493775938</v>
      </c>
      <c r="P83" s="17">
        <f t="shared" si="47"/>
        <v>241</v>
      </c>
      <c r="Q83" s="25">
        <f t="shared" si="48"/>
        <v>8</v>
      </c>
      <c r="R83" s="31">
        <f t="shared" si="49"/>
        <v>3.3195020746887969</v>
      </c>
      <c r="S83" s="25">
        <f t="shared" si="50"/>
        <v>213</v>
      </c>
      <c r="T83" s="25">
        <f t="shared" si="51"/>
        <v>22</v>
      </c>
      <c r="U83" s="21">
        <f t="shared" si="52"/>
        <v>10.328638497652582</v>
      </c>
      <c r="V83" s="37">
        <f t="shared" si="53"/>
        <v>14</v>
      </c>
      <c r="W83" s="31">
        <f t="shared" si="54"/>
        <v>5.809128630705394</v>
      </c>
      <c r="X83" s="37">
        <f t="shared" si="55"/>
        <v>6</v>
      </c>
      <c r="Y83" s="30">
        <f t="shared" si="56"/>
        <v>2.4896265560165975</v>
      </c>
    </row>
    <row r="84" spans="2:25" ht="15" customHeight="1" x14ac:dyDescent="0.25">
      <c r="B84" s="5" t="s">
        <v>47</v>
      </c>
      <c r="C84" s="7" t="s">
        <v>160</v>
      </c>
      <c r="D84" s="7" t="s">
        <v>161</v>
      </c>
      <c r="E84" s="7" t="s">
        <v>163</v>
      </c>
      <c r="F84" s="44">
        <v>200210</v>
      </c>
      <c r="G84" s="17">
        <f t="shared" si="38"/>
        <v>1209</v>
      </c>
      <c r="H84" s="25">
        <f t="shared" si="39"/>
        <v>114</v>
      </c>
      <c r="I84" s="21">
        <f t="shared" si="40"/>
        <v>9.4292803970223318</v>
      </c>
      <c r="J84" s="37">
        <f t="shared" si="41"/>
        <v>1095</v>
      </c>
      <c r="K84" s="25">
        <f t="shared" si="42"/>
        <v>345</v>
      </c>
      <c r="L84" s="21">
        <f t="shared" si="43"/>
        <v>31.506849315068493</v>
      </c>
      <c r="M84" s="17">
        <f t="shared" si="44"/>
        <v>1209</v>
      </c>
      <c r="N84" s="25">
        <f t="shared" si="45"/>
        <v>46</v>
      </c>
      <c r="O84" s="30">
        <f t="shared" si="46"/>
        <v>3.8047973531844499</v>
      </c>
      <c r="P84" s="17">
        <f t="shared" si="47"/>
        <v>1209</v>
      </c>
      <c r="Q84" s="25">
        <f t="shared" si="48"/>
        <v>23</v>
      </c>
      <c r="R84" s="31">
        <f t="shared" si="49"/>
        <v>1.9023986765922249</v>
      </c>
      <c r="S84" s="25">
        <f t="shared" si="50"/>
        <v>1075</v>
      </c>
      <c r="T84" s="25">
        <f t="shared" si="51"/>
        <v>87</v>
      </c>
      <c r="U84" s="21">
        <f t="shared" si="52"/>
        <v>8.0930232558139537</v>
      </c>
      <c r="V84" s="37">
        <f t="shared" si="53"/>
        <v>80</v>
      </c>
      <c r="W84" s="31">
        <f t="shared" si="54"/>
        <v>6.6170388751033915</v>
      </c>
      <c r="X84" s="37">
        <f t="shared" si="55"/>
        <v>31</v>
      </c>
      <c r="Y84" s="30">
        <f t="shared" si="56"/>
        <v>2.5641025641025639</v>
      </c>
    </row>
    <row r="85" spans="2:25" ht="15" customHeight="1" x14ac:dyDescent="0.25">
      <c r="B85" s="5" t="s">
        <v>47</v>
      </c>
      <c r="C85" s="7" t="s">
        <v>160</v>
      </c>
      <c r="D85" s="7" t="s">
        <v>164</v>
      </c>
      <c r="E85" s="7" t="s">
        <v>165</v>
      </c>
      <c r="F85" s="44">
        <v>200303</v>
      </c>
      <c r="G85" s="17">
        <f t="shared" si="38"/>
        <v>1102</v>
      </c>
      <c r="H85" s="25">
        <f t="shared" si="39"/>
        <v>430</v>
      </c>
      <c r="I85" s="21">
        <f t="shared" si="40"/>
        <v>39.019963702359348</v>
      </c>
      <c r="J85" s="37">
        <f t="shared" si="41"/>
        <v>672</v>
      </c>
      <c r="K85" s="25">
        <f t="shared" si="42"/>
        <v>397</v>
      </c>
      <c r="L85" s="21">
        <f t="shared" si="43"/>
        <v>59.077380952380956</v>
      </c>
      <c r="M85" s="17">
        <f t="shared" si="44"/>
        <v>1102</v>
      </c>
      <c r="N85" s="25">
        <f t="shared" si="45"/>
        <v>96</v>
      </c>
      <c r="O85" s="30">
        <f t="shared" si="46"/>
        <v>8.7114337568058069</v>
      </c>
      <c r="P85" s="17">
        <f t="shared" si="47"/>
        <v>1102</v>
      </c>
      <c r="Q85" s="25">
        <f t="shared" si="48"/>
        <v>16</v>
      </c>
      <c r="R85" s="31">
        <f t="shared" si="49"/>
        <v>1.4519056261343013</v>
      </c>
      <c r="S85" s="25">
        <f t="shared" si="50"/>
        <v>1023</v>
      </c>
      <c r="T85" s="25">
        <f t="shared" si="51"/>
        <v>77</v>
      </c>
      <c r="U85" s="21">
        <f t="shared" si="52"/>
        <v>7.5268817204301079</v>
      </c>
      <c r="V85" s="37">
        <f t="shared" si="53"/>
        <v>48</v>
      </c>
      <c r="W85" s="31">
        <f t="shared" si="54"/>
        <v>4.3557168784029034</v>
      </c>
      <c r="X85" s="37">
        <f t="shared" si="55"/>
        <v>15</v>
      </c>
      <c r="Y85" s="30">
        <f t="shared" si="56"/>
        <v>1.3611615245009074</v>
      </c>
    </row>
    <row r="86" spans="2:25" ht="15" customHeight="1" x14ac:dyDescent="0.25">
      <c r="B86" s="5" t="s">
        <v>47</v>
      </c>
      <c r="C86" s="7" t="s">
        <v>160</v>
      </c>
      <c r="D86" s="7" t="s">
        <v>166</v>
      </c>
      <c r="E86" s="7" t="s">
        <v>167</v>
      </c>
      <c r="F86" s="44">
        <v>200604</v>
      </c>
      <c r="G86" s="17">
        <f t="shared" si="38"/>
        <v>1124</v>
      </c>
      <c r="H86" s="25">
        <f t="shared" si="39"/>
        <v>58</v>
      </c>
      <c r="I86" s="21">
        <f t="shared" si="40"/>
        <v>5.160142348754448</v>
      </c>
      <c r="J86" s="37">
        <f t="shared" si="41"/>
        <v>1066</v>
      </c>
      <c r="K86" s="25">
        <f t="shared" si="42"/>
        <v>264</v>
      </c>
      <c r="L86" s="21">
        <f t="shared" si="43"/>
        <v>24.765478424015008</v>
      </c>
      <c r="M86" s="17">
        <f t="shared" si="44"/>
        <v>1124</v>
      </c>
      <c r="N86" s="25">
        <f t="shared" si="45"/>
        <v>23</v>
      </c>
      <c r="O86" s="30">
        <f t="shared" si="46"/>
        <v>2.0462633451957295</v>
      </c>
      <c r="P86" s="17">
        <f t="shared" si="47"/>
        <v>1124</v>
      </c>
      <c r="Q86" s="25">
        <f t="shared" si="48"/>
        <v>27</v>
      </c>
      <c r="R86" s="31">
        <f t="shared" si="49"/>
        <v>2.4021352313167257</v>
      </c>
      <c r="S86" s="25">
        <f t="shared" si="50"/>
        <v>990</v>
      </c>
      <c r="T86" s="25">
        <f t="shared" si="51"/>
        <v>87</v>
      </c>
      <c r="U86" s="21">
        <f t="shared" si="52"/>
        <v>8.7878787878787872</v>
      </c>
      <c r="V86" s="37">
        <f t="shared" si="53"/>
        <v>70</v>
      </c>
      <c r="W86" s="31">
        <f t="shared" si="54"/>
        <v>6.2277580071174379</v>
      </c>
      <c r="X86" s="37">
        <f t="shared" si="55"/>
        <v>37</v>
      </c>
      <c r="Y86" s="30">
        <f t="shared" si="56"/>
        <v>3.2918149466192168</v>
      </c>
    </row>
    <row r="87" spans="2:25" ht="15" customHeight="1" x14ac:dyDescent="0.25">
      <c r="B87" s="5" t="s">
        <v>47</v>
      </c>
      <c r="C87" s="7" t="s">
        <v>168</v>
      </c>
      <c r="D87" s="7" t="s">
        <v>168</v>
      </c>
      <c r="E87" s="7" t="s">
        <v>169</v>
      </c>
      <c r="F87" s="44">
        <v>240104</v>
      </c>
      <c r="G87" s="17">
        <f t="shared" si="38"/>
        <v>666</v>
      </c>
      <c r="H87" s="25">
        <f t="shared" si="39"/>
        <v>57</v>
      </c>
      <c r="I87" s="21">
        <f t="shared" si="40"/>
        <v>8.5585585585585591</v>
      </c>
      <c r="J87" s="37">
        <f t="shared" si="41"/>
        <v>609</v>
      </c>
      <c r="K87" s="25">
        <f t="shared" si="42"/>
        <v>146</v>
      </c>
      <c r="L87" s="21">
        <f t="shared" si="43"/>
        <v>23.973727422003286</v>
      </c>
      <c r="M87" s="17">
        <f t="shared" si="44"/>
        <v>666</v>
      </c>
      <c r="N87" s="25">
        <f t="shared" si="45"/>
        <v>22</v>
      </c>
      <c r="O87" s="30">
        <f t="shared" si="46"/>
        <v>3.303303303303303</v>
      </c>
      <c r="P87" s="17">
        <f t="shared" si="47"/>
        <v>666</v>
      </c>
      <c r="Q87" s="25">
        <f t="shared" si="48"/>
        <v>14</v>
      </c>
      <c r="R87" s="31">
        <f t="shared" si="49"/>
        <v>2.1021021021021022</v>
      </c>
      <c r="S87" s="25">
        <f t="shared" si="50"/>
        <v>602</v>
      </c>
      <c r="T87" s="25">
        <f t="shared" si="51"/>
        <v>52</v>
      </c>
      <c r="U87" s="21">
        <f t="shared" si="52"/>
        <v>8.6378737541528228</v>
      </c>
      <c r="V87" s="37">
        <f t="shared" si="53"/>
        <v>23</v>
      </c>
      <c r="W87" s="31">
        <f t="shared" si="54"/>
        <v>3.4534534534534531</v>
      </c>
      <c r="X87" s="37">
        <f t="shared" si="55"/>
        <v>27</v>
      </c>
      <c r="Y87" s="30">
        <f t="shared" si="56"/>
        <v>4.0540540540540544</v>
      </c>
    </row>
    <row r="88" spans="2:25" ht="15" customHeight="1" x14ac:dyDescent="0.25">
      <c r="B88" s="5" t="s">
        <v>47</v>
      </c>
      <c r="C88" s="7" t="s">
        <v>168</v>
      </c>
      <c r="D88" s="7" t="s">
        <v>170</v>
      </c>
      <c r="E88" s="7" t="s">
        <v>171</v>
      </c>
      <c r="F88" s="44">
        <v>240302</v>
      </c>
      <c r="G88" s="17">
        <f t="shared" si="38"/>
        <v>1457</v>
      </c>
      <c r="H88" s="25">
        <f t="shared" si="39"/>
        <v>196</v>
      </c>
      <c r="I88" s="21">
        <f t="shared" si="40"/>
        <v>13.452299245024021</v>
      </c>
      <c r="J88" s="37">
        <f t="shared" si="41"/>
        <v>1261</v>
      </c>
      <c r="K88" s="25">
        <f t="shared" si="42"/>
        <v>429</v>
      </c>
      <c r="L88" s="21">
        <f t="shared" si="43"/>
        <v>34.020618556701031</v>
      </c>
      <c r="M88" s="17">
        <f t="shared" si="44"/>
        <v>1457</v>
      </c>
      <c r="N88" s="25">
        <f t="shared" si="45"/>
        <v>43</v>
      </c>
      <c r="O88" s="30">
        <f t="shared" si="46"/>
        <v>2.9512697323266988</v>
      </c>
      <c r="P88" s="17">
        <f t="shared" si="47"/>
        <v>1457</v>
      </c>
      <c r="Q88" s="25">
        <f t="shared" si="48"/>
        <v>27</v>
      </c>
      <c r="R88" s="31">
        <f t="shared" si="49"/>
        <v>1.8531228551818806</v>
      </c>
      <c r="S88" s="25">
        <f t="shared" si="50"/>
        <v>1307</v>
      </c>
      <c r="T88" s="25">
        <f t="shared" si="51"/>
        <v>104</v>
      </c>
      <c r="U88" s="21">
        <f t="shared" si="52"/>
        <v>7.9571537872991582</v>
      </c>
      <c r="V88" s="37">
        <f t="shared" si="53"/>
        <v>93</v>
      </c>
      <c r="W88" s="31">
        <f t="shared" si="54"/>
        <v>6.3829787234042552</v>
      </c>
      <c r="X88" s="37">
        <f t="shared" si="55"/>
        <v>30</v>
      </c>
      <c r="Y88" s="30">
        <f t="shared" si="56"/>
        <v>2.0590253946465338</v>
      </c>
    </row>
    <row r="89" spans="2:25" ht="15" customHeight="1" x14ac:dyDescent="0.25">
      <c r="B89" s="5" t="s">
        <v>47</v>
      </c>
      <c r="C89" s="7" t="s">
        <v>168</v>
      </c>
      <c r="D89" s="7" t="s">
        <v>168</v>
      </c>
      <c r="E89" s="7" t="s">
        <v>172</v>
      </c>
      <c r="F89" s="44">
        <v>240105</v>
      </c>
      <c r="G89" s="17">
        <f t="shared" si="38"/>
        <v>638</v>
      </c>
      <c r="H89" s="25">
        <f t="shared" si="39"/>
        <v>36</v>
      </c>
      <c r="I89" s="21">
        <f t="shared" si="40"/>
        <v>5.6426332288401255</v>
      </c>
      <c r="J89" s="37">
        <f t="shared" si="41"/>
        <v>602</v>
      </c>
      <c r="K89" s="25">
        <f t="shared" si="42"/>
        <v>143</v>
      </c>
      <c r="L89" s="21">
        <f t="shared" si="43"/>
        <v>23.754152823920265</v>
      </c>
      <c r="M89" s="17">
        <f t="shared" si="44"/>
        <v>638</v>
      </c>
      <c r="N89" s="25">
        <f t="shared" si="45"/>
        <v>15</v>
      </c>
      <c r="O89" s="30">
        <f t="shared" si="46"/>
        <v>2.3510971786833856</v>
      </c>
      <c r="P89" s="17">
        <f t="shared" si="47"/>
        <v>638</v>
      </c>
      <c r="Q89" s="25">
        <f t="shared" si="48"/>
        <v>20</v>
      </c>
      <c r="R89" s="31">
        <f t="shared" si="49"/>
        <v>3.1347962382445136</v>
      </c>
      <c r="S89" s="25">
        <f t="shared" si="50"/>
        <v>560</v>
      </c>
      <c r="T89" s="25">
        <f t="shared" si="51"/>
        <v>49</v>
      </c>
      <c r="U89" s="21">
        <f t="shared" si="52"/>
        <v>8.75</v>
      </c>
      <c r="V89" s="37">
        <f t="shared" si="53"/>
        <v>39</v>
      </c>
      <c r="W89" s="31">
        <f t="shared" si="54"/>
        <v>6.1128526645768027</v>
      </c>
      <c r="X89" s="37">
        <f t="shared" si="55"/>
        <v>19</v>
      </c>
      <c r="Y89" s="30">
        <f t="shared" si="56"/>
        <v>2.9780564263322882</v>
      </c>
    </row>
    <row r="90" spans="2:25" ht="15" customHeight="1" x14ac:dyDescent="0.25">
      <c r="B90" s="5" t="s">
        <v>47</v>
      </c>
      <c r="C90" s="7" t="s">
        <v>168</v>
      </c>
      <c r="D90" s="7" t="s">
        <v>170</v>
      </c>
      <c r="E90" s="7" t="s">
        <v>170</v>
      </c>
      <c r="F90" s="44">
        <v>240301</v>
      </c>
      <c r="G90" s="17">
        <f t="shared" si="38"/>
        <v>1658</v>
      </c>
      <c r="H90" s="25">
        <f t="shared" si="39"/>
        <v>186</v>
      </c>
      <c r="I90" s="21">
        <f t="shared" si="40"/>
        <v>11.218335343787695</v>
      </c>
      <c r="J90" s="37">
        <f t="shared" si="41"/>
        <v>1472</v>
      </c>
      <c r="K90" s="25">
        <f t="shared" si="42"/>
        <v>495</v>
      </c>
      <c r="L90" s="21">
        <f t="shared" si="43"/>
        <v>33.627717391304344</v>
      </c>
      <c r="M90" s="17">
        <f t="shared" si="44"/>
        <v>1658</v>
      </c>
      <c r="N90" s="25">
        <f t="shared" si="45"/>
        <v>52</v>
      </c>
      <c r="O90" s="30">
        <f t="shared" si="46"/>
        <v>3.1363088057901085</v>
      </c>
      <c r="P90" s="17">
        <f t="shared" si="47"/>
        <v>1658</v>
      </c>
      <c r="Q90" s="25">
        <f t="shared" si="48"/>
        <v>29</v>
      </c>
      <c r="R90" s="31">
        <f t="shared" si="49"/>
        <v>1.7490952955367913</v>
      </c>
      <c r="S90" s="25">
        <f t="shared" si="50"/>
        <v>1491</v>
      </c>
      <c r="T90" s="25">
        <f t="shared" si="51"/>
        <v>116</v>
      </c>
      <c r="U90" s="21">
        <f t="shared" si="52"/>
        <v>7.7800134138162305</v>
      </c>
      <c r="V90" s="37">
        <f t="shared" si="53"/>
        <v>107</v>
      </c>
      <c r="W90" s="31">
        <f t="shared" si="54"/>
        <v>6.4535585042219541</v>
      </c>
      <c r="X90" s="37">
        <f t="shared" si="55"/>
        <v>31</v>
      </c>
      <c r="Y90" s="30">
        <f t="shared" si="56"/>
        <v>1.8697225572979495</v>
      </c>
    </row>
    <row r="91" spans="2:25" ht="15" customHeight="1" x14ac:dyDescent="0.25">
      <c r="B91" s="5" t="s">
        <v>47</v>
      </c>
      <c r="C91" s="7" t="s">
        <v>168</v>
      </c>
      <c r="D91" s="7" t="s">
        <v>170</v>
      </c>
      <c r="E91" s="7" t="s">
        <v>173</v>
      </c>
      <c r="F91" s="44">
        <v>240303</v>
      </c>
      <c r="G91" s="17">
        <f t="shared" si="38"/>
        <v>363</v>
      </c>
      <c r="H91" s="25">
        <f t="shared" si="39"/>
        <v>42</v>
      </c>
      <c r="I91" s="21">
        <f t="shared" si="40"/>
        <v>11.570247933884298</v>
      </c>
      <c r="J91" s="37">
        <f t="shared" si="41"/>
        <v>321</v>
      </c>
      <c r="K91" s="25">
        <f t="shared" si="42"/>
        <v>122</v>
      </c>
      <c r="L91" s="21">
        <f t="shared" si="43"/>
        <v>38.006230529595015</v>
      </c>
      <c r="M91" s="17">
        <f t="shared" si="44"/>
        <v>363</v>
      </c>
      <c r="N91" s="25">
        <f t="shared" si="45"/>
        <v>11</v>
      </c>
      <c r="O91" s="30">
        <f t="shared" si="46"/>
        <v>3.0303030303030303</v>
      </c>
      <c r="P91" s="17">
        <f t="shared" si="47"/>
        <v>363</v>
      </c>
      <c r="Q91" s="25">
        <f t="shared" si="48"/>
        <v>2</v>
      </c>
      <c r="R91" s="31">
        <f t="shared" si="49"/>
        <v>0.55096418732782371</v>
      </c>
      <c r="S91" s="25">
        <f t="shared" si="50"/>
        <v>347</v>
      </c>
      <c r="T91" s="25">
        <f t="shared" si="51"/>
        <v>39</v>
      </c>
      <c r="U91" s="21">
        <f t="shared" si="52"/>
        <v>11.239193083573488</v>
      </c>
      <c r="V91" s="37">
        <f t="shared" si="53"/>
        <v>10</v>
      </c>
      <c r="W91" s="31">
        <f t="shared" si="54"/>
        <v>2.7548209366391188</v>
      </c>
      <c r="X91" s="37">
        <f t="shared" si="55"/>
        <v>4</v>
      </c>
      <c r="Y91" s="30">
        <f t="shared" si="56"/>
        <v>1.1019283746556474</v>
      </c>
    </row>
    <row r="92" spans="2:25" ht="15" customHeight="1" thickBot="1" x14ac:dyDescent="0.3">
      <c r="B92" s="5" t="s">
        <v>47</v>
      </c>
      <c r="C92" s="7" t="s">
        <v>168</v>
      </c>
      <c r="D92" s="7" t="s">
        <v>170</v>
      </c>
      <c r="E92" s="7" t="s">
        <v>174</v>
      </c>
      <c r="F92" s="44">
        <v>240304</v>
      </c>
      <c r="G92" s="17">
        <f t="shared" si="38"/>
        <v>641</v>
      </c>
      <c r="H92" s="25">
        <f t="shared" si="39"/>
        <v>75</v>
      </c>
      <c r="I92" s="21">
        <f t="shared" si="40"/>
        <v>11.700468018720748</v>
      </c>
      <c r="J92" s="37">
        <f t="shared" si="41"/>
        <v>566</v>
      </c>
      <c r="K92" s="25">
        <f t="shared" si="42"/>
        <v>188</v>
      </c>
      <c r="L92" s="21">
        <f t="shared" si="43"/>
        <v>33.215547703180206</v>
      </c>
      <c r="M92" s="17">
        <f t="shared" si="44"/>
        <v>641</v>
      </c>
      <c r="N92" s="25">
        <f t="shared" si="45"/>
        <v>23</v>
      </c>
      <c r="O92" s="30">
        <f t="shared" si="46"/>
        <v>3.5881435257410299</v>
      </c>
      <c r="P92" s="17">
        <f t="shared" si="47"/>
        <v>641</v>
      </c>
      <c r="Q92" s="25">
        <f t="shared" si="48"/>
        <v>22</v>
      </c>
      <c r="R92" s="31">
        <f t="shared" si="49"/>
        <v>3.4321372854914198</v>
      </c>
      <c r="S92" s="25">
        <f t="shared" si="50"/>
        <v>576</v>
      </c>
      <c r="T92" s="25">
        <f t="shared" si="51"/>
        <v>42</v>
      </c>
      <c r="U92" s="21">
        <f t="shared" si="52"/>
        <v>7.291666666666667</v>
      </c>
      <c r="V92" s="37">
        <f t="shared" si="53"/>
        <v>30</v>
      </c>
      <c r="W92" s="31">
        <f t="shared" si="54"/>
        <v>4.6801872074882995</v>
      </c>
      <c r="X92" s="37">
        <f t="shared" si="55"/>
        <v>13</v>
      </c>
      <c r="Y92" s="30">
        <f t="shared" si="56"/>
        <v>2.0280811232449301</v>
      </c>
    </row>
    <row r="93" spans="2:25" ht="15" customHeight="1" thickBot="1" x14ac:dyDescent="0.3">
      <c r="B93" s="81"/>
      <c r="C93" s="71"/>
      <c r="D93" s="71" t="str">
        <f>UPPER(_xlfn.CONCAT("Total ",B92))</f>
        <v>TOTAL ZONA NORTE</v>
      </c>
      <c r="E93" s="71"/>
      <c r="F93" s="82"/>
      <c r="G93" s="19">
        <f>SUM(G78:G92)</f>
        <v>19591</v>
      </c>
      <c r="H93" s="27">
        <f>SUM(H78:H92)</f>
        <v>3772</v>
      </c>
      <c r="I93" s="23">
        <f>H93/G93*100</f>
        <v>19.253738961768157</v>
      </c>
      <c r="J93" s="39">
        <f>SUM(J78:J92)</f>
        <v>15819</v>
      </c>
      <c r="K93" s="27">
        <f>SUM(K78:K92)</f>
        <v>6504</v>
      </c>
      <c r="L93" s="23">
        <f>K93/J93*100</f>
        <v>41.11511473544472</v>
      </c>
      <c r="M93" s="19">
        <f>SUM(M78:M92)</f>
        <v>19591</v>
      </c>
      <c r="N93" s="27">
        <f>SUM(N78:N92)</f>
        <v>995</v>
      </c>
      <c r="O93" s="34">
        <f>N93/M93*100</f>
        <v>5.0788627430963196</v>
      </c>
      <c r="P93" s="19">
        <f>SUM(P78:P92)</f>
        <v>19591</v>
      </c>
      <c r="Q93" s="27">
        <f>SUM(Q78:Q92)</f>
        <v>401</v>
      </c>
      <c r="R93" s="35">
        <f>Q93/P93*100</f>
        <v>2.0468582512378131</v>
      </c>
      <c r="S93" s="70">
        <f>SUM(S78:S92)</f>
        <v>17956</v>
      </c>
      <c r="T93" s="19">
        <f>SUM(T78:T92)</f>
        <v>1442</v>
      </c>
      <c r="U93" s="35">
        <f>T93/S93*100</f>
        <v>8.0307418133214536</v>
      </c>
      <c r="V93" s="39">
        <f>SUM(V78:V92)</f>
        <v>910</v>
      </c>
      <c r="W93" s="35">
        <f>V93/P93*100</f>
        <v>4.6449900464499008</v>
      </c>
      <c r="X93" s="39">
        <f>SUM(X78:X92)</f>
        <v>324</v>
      </c>
      <c r="Y93" s="34">
        <f>X93/P93*100</f>
        <v>1.6538206319228217</v>
      </c>
    </row>
    <row r="94" spans="2:25" ht="15" customHeight="1" x14ac:dyDescent="0.25">
      <c r="B94" s="5" t="s">
        <v>49</v>
      </c>
      <c r="C94" s="7" t="s">
        <v>112</v>
      </c>
      <c r="D94" s="7" t="s">
        <v>112</v>
      </c>
      <c r="E94" s="7" t="s">
        <v>112</v>
      </c>
      <c r="F94" s="44">
        <v>230101</v>
      </c>
      <c r="G94" s="17">
        <f>IFERROR(VLOOKUP($F94,distrito059,2,0),"-")</f>
        <v>2344</v>
      </c>
      <c r="H94" s="25">
        <f>IFERROR(VLOOKUP($F94,distrito059,3,0),"-")</f>
        <v>96</v>
      </c>
      <c r="I94" s="21">
        <f>IFERROR(VLOOKUP($F94,distrito059,4,0),"-")</f>
        <v>4.0955631399317403</v>
      </c>
      <c r="J94" s="37">
        <f>IFERROR(VLOOKUP($F94,distrito059,5,0),"-")</f>
        <v>2248</v>
      </c>
      <c r="K94" s="25">
        <f>IFERROR(VLOOKUP($F94,distrito059,6,0),"-")</f>
        <v>323</v>
      </c>
      <c r="L94" s="21">
        <f>IFERROR(VLOOKUP($F94,distrito059,7,0),"-")</f>
        <v>14.368327402135231</v>
      </c>
      <c r="M94" s="17">
        <f>IFERROR(VLOOKUP($F94,distrito059,8,0),"-")</f>
        <v>2344</v>
      </c>
      <c r="N94" s="25">
        <f>IFERROR(VLOOKUP($F94,distrito059,9,0),"-")</f>
        <v>39</v>
      </c>
      <c r="O94" s="30">
        <f>IFERROR(VLOOKUP($F94,distrito059,10,0),"-")</f>
        <v>1.6638225255972698</v>
      </c>
      <c r="P94" s="17">
        <f>IFERROR(VLOOKUP($F94,distrito059,11,0),"-")</f>
        <v>2344</v>
      </c>
      <c r="Q94" s="25">
        <f>IFERROR(VLOOKUP($F94,distrito059,12,0),"-")</f>
        <v>29</v>
      </c>
      <c r="R94" s="31">
        <f>IFERROR(VLOOKUP($F94,distrito059,13,0),"-")</f>
        <v>1.2372013651877134</v>
      </c>
      <c r="S94" s="25">
        <f>IFERROR(VLOOKUP($F94,distrito059,14,0),"-")</f>
        <v>1937</v>
      </c>
      <c r="T94" s="25">
        <f>IFERROR(VLOOKUP($F94,distrito059,15,0),"-")</f>
        <v>83</v>
      </c>
      <c r="U94" s="21">
        <f>IFERROR(VLOOKUP($F94,distrito059,16,0),"-")</f>
        <v>4.2849767681982449</v>
      </c>
      <c r="V94" s="37">
        <f>IFERROR(VLOOKUP($F94,distrito059,17,0),"-")</f>
        <v>271</v>
      </c>
      <c r="W94" s="31">
        <f>IFERROR(VLOOKUP($F94,distrito059,18,0),"-")</f>
        <v>11.561433447098976</v>
      </c>
      <c r="X94" s="37">
        <f>IFERROR(VLOOKUP($F94,distrito059,19,0),"-")</f>
        <v>107</v>
      </c>
      <c r="Y94" s="30">
        <f>IFERROR(VLOOKUP($F94,distrito059,20,0),"-")</f>
        <v>4.5648464163822524</v>
      </c>
    </row>
    <row r="95" spans="2:25" ht="15" customHeight="1" thickBot="1" x14ac:dyDescent="0.3">
      <c r="B95" s="5" t="s">
        <v>49</v>
      </c>
      <c r="C95" s="7" t="s">
        <v>112</v>
      </c>
      <c r="D95" s="7" t="s">
        <v>112</v>
      </c>
      <c r="E95" s="7" t="s">
        <v>175</v>
      </c>
      <c r="F95" s="44">
        <v>230111</v>
      </c>
      <c r="G95" s="17">
        <f>IFERROR(VLOOKUP($F95,distrito059,2,0),"-")</f>
        <v>783</v>
      </c>
      <c r="H95" s="25">
        <f>IFERROR(VLOOKUP($F95,distrito059,3,0),"-")</f>
        <v>32</v>
      </c>
      <c r="I95" s="21">
        <f>IFERROR(VLOOKUP($F95,distrito059,4,0),"-")</f>
        <v>4.0868454661558111</v>
      </c>
      <c r="J95" s="37">
        <f>IFERROR(VLOOKUP($F95,distrito059,5,0),"-")</f>
        <v>751</v>
      </c>
      <c r="K95" s="25">
        <f>IFERROR(VLOOKUP($F95,distrito059,6,0),"-")</f>
        <v>183</v>
      </c>
      <c r="L95" s="21">
        <f>IFERROR(VLOOKUP($F95,distrito059,7,0),"-")</f>
        <v>24.367509986684421</v>
      </c>
      <c r="M95" s="17">
        <f>IFERROR(VLOOKUP($F95,distrito059,8,0),"-")</f>
        <v>783</v>
      </c>
      <c r="N95" s="25">
        <f>IFERROR(VLOOKUP($F95,distrito059,9,0),"-")</f>
        <v>4</v>
      </c>
      <c r="O95" s="30">
        <f>IFERROR(VLOOKUP($F95,distrito059,10,0),"-")</f>
        <v>0.51085568326947639</v>
      </c>
      <c r="P95" s="17">
        <f>IFERROR(VLOOKUP($F95,distrito059,11,0),"-")</f>
        <v>783</v>
      </c>
      <c r="Q95" s="25">
        <f>IFERROR(VLOOKUP($F95,distrito059,12,0),"-")</f>
        <v>3</v>
      </c>
      <c r="R95" s="31">
        <f>IFERROR(VLOOKUP($F95,distrito059,13,0),"-")</f>
        <v>0.38314176245210724</v>
      </c>
      <c r="S95" s="25">
        <f>IFERROR(VLOOKUP($F95,distrito059,14,0),"-")</f>
        <v>646</v>
      </c>
      <c r="T95" s="25">
        <f>IFERROR(VLOOKUP($F95,distrito059,15,0),"-")</f>
        <v>21</v>
      </c>
      <c r="U95" s="21">
        <f>IFERROR(VLOOKUP($F95,distrito059,16,0),"-")</f>
        <v>3.2507739938080498</v>
      </c>
      <c r="V95" s="37">
        <f>IFERROR(VLOOKUP($F95,distrito059,17,0),"-")</f>
        <v>96</v>
      </c>
      <c r="W95" s="31">
        <f>IFERROR(VLOOKUP($F95,distrito059,18,0),"-")</f>
        <v>12.260536398467432</v>
      </c>
      <c r="X95" s="37">
        <f>IFERROR(VLOOKUP($F95,distrito059,19,0),"-")</f>
        <v>38</v>
      </c>
      <c r="Y95" s="30">
        <f>IFERROR(VLOOKUP($F95,distrito059,20,0),"-")</f>
        <v>4.853128991060025</v>
      </c>
    </row>
    <row r="96" spans="2:25" ht="15" customHeight="1" thickBot="1" x14ac:dyDescent="0.3">
      <c r="B96" s="81"/>
      <c r="C96" s="71"/>
      <c r="D96" s="71" t="str">
        <f>UPPER(_xlfn.CONCAT("Total ",B95))</f>
        <v>TOTAL ZONA SUR</v>
      </c>
      <c r="E96" s="71"/>
      <c r="F96" s="82"/>
      <c r="G96" s="19">
        <f>SUM(G94:G95)</f>
        <v>3127</v>
      </c>
      <c r="H96" s="27">
        <f>SUM(H94:H95)</f>
        <v>128</v>
      </c>
      <c r="I96" s="23">
        <f>H96/G96*100</f>
        <v>4.093380236648545</v>
      </c>
      <c r="J96" s="39">
        <f>SUM(J94:J95)</f>
        <v>2999</v>
      </c>
      <c r="K96" s="27">
        <f>SUM(K94:K95)</f>
        <v>506</v>
      </c>
      <c r="L96" s="23">
        <f>K96/J96*100</f>
        <v>16.872290763587863</v>
      </c>
      <c r="M96" s="19">
        <f>SUM(M94:M95)</f>
        <v>3127</v>
      </c>
      <c r="N96" s="27">
        <f>SUM(N94:N95)</f>
        <v>43</v>
      </c>
      <c r="O96" s="34">
        <f>N96/M96*100</f>
        <v>1.3751199232491205</v>
      </c>
      <c r="P96" s="19">
        <f>SUM(P94:P95)</f>
        <v>3127</v>
      </c>
      <c r="Q96" s="27">
        <f>SUM(Q94:Q95)</f>
        <v>32</v>
      </c>
      <c r="R96" s="35">
        <f>Q96/P96*100</f>
        <v>1.0233450591621363</v>
      </c>
      <c r="S96" s="70">
        <f>SUM(S94:S95)</f>
        <v>2583</v>
      </c>
      <c r="T96" s="19">
        <f>SUM(T94:T95)</f>
        <v>104</v>
      </c>
      <c r="U96" s="35">
        <f>T96/S96*100</f>
        <v>4.0263259775454898</v>
      </c>
      <c r="V96" s="39">
        <f>SUM(V94:V95)</f>
        <v>367</v>
      </c>
      <c r="W96" s="35">
        <f>V96/P96*100</f>
        <v>11.73648864726575</v>
      </c>
      <c r="X96" s="39">
        <f>SUM(X94:X95)</f>
        <v>145</v>
      </c>
      <c r="Y96" s="34">
        <f>X96/P96*100</f>
        <v>4.6370322993284301</v>
      </c>
    </row>
    <row r="97" spans="2:25" ht="15" customHeight="1" thickBot="1" x14ac:dyDescent="0.3">
      <c r="B97" s="81"/>
      <c r="C97" s="71"/>
      <c r="D97" s="71" t="s">
        <v>176</v>
      </c>
      <c r="E97" s="71"/>
      <c r="F97" s="82"/>
      <c r="G97" s="19">
        <f>G96+G93+G77+G55+G49</f>
        <v>98940</v>
      </c>
      <c r="H97" s="19">
        <f>H96+H93+H77+H55+H49</f>
        <v>20698</v>
      </c>
      <c r="I97" s="23">
        <f>H97/G97*100</f>
        <v>20.919749343036184</v>
      </c>
      <c r="J97" s="19">
        <f>J96+J93+J77+J55+J49</f>
        <v>78242</v>
      </c>
      <c r="K97" s="19">
        <f>K96+K93+K77+K55+K49</f>
        <v>32270</v>
      </c>
      <c r="L97" s="23">
        <f>K97/J97*100</f>
        <v>41.243833235346742</v>
      </c>
      <c r="M97" s="19">
        <f>M96+M93+M77+M55+M49</f>
        <v>98940</v>
      </c>
      <c r="N97" s="19">
        <f>N96+N93+N77+N55+N49</f>
        <v>5593</v>
      </c>
      <c r="O97" s="34">
        <f>N97/M97*100</f>
        <v>5.6529209621993131</v>
      </c>
      <c r="P97" s="19">
        <f>P96+P93+P77+P55+P49</f>
        <v>98940</v>
      </c>
      <c r="Q97" s="19">
        <f>Q96+Q93+Q77+Q55+Q49</f>
        <v>2429</v>
      </c>
      <c r="R97" s="35">
        <f>Q97/P97*100</f>
        <v>2.455023246411967</v>
      </c>
      <c r="S97" s="19">
        <f>S96+S93+S77+S55+S49</f>
        <v>89388</v>
      </c>
      <c r="T97" s="19">
        <f>T96+T93+T77+T55+T49</f>
        <v>6942</v>
      </c>
      <c r="U97" s="35">
        <f>T97/S97*100</f>
        <v>7.7661431064572417</v>
      </c>
      <c r="V97" s="19">
        <f>V96+V93+V77+V55+V49</f>
        <v>5494</v>
      </c>
      <c r="W97" s="35">
        <f>V97/P97*100</f>
        <v>5.552860319385486</v>
      </c>
      <c r="X97" s="19">
        <f>X96+X93+X77+X55+X49</f>
        <v>1629</v>
      </c>
      <c r="Y97" s="34">
        <f>X97/P97*100</f>
        <v>1.6464523953911463</v>
      </c>
    </row>
    <row r="98" spans="2:25" ht="15" customHeight="1" x14ac:dyDescent="0.25">
      <c r="B98" s="2" t="str">
        <f>_xlfn.CONCAT("Fuente: Sistema de Información SIEN - HIS, ",RIGHT(INICIO!C8,4),".")</f>
        <v>Fuente: Sistema de Información SIEN - HIS, 2025.</v>
      </c>
      <c r="C98" s="2"/>
      <c r="D98" s="2"/>
      <c r="E98" s="2"/>
      <c r="F98" s="2"/>
      <c r="G98" s="2"/>
    </row>
    <row r="99" spans="2:25" ht="15" customHeight="1" x14ac:dyDescent="0.25">
      <c r="B99" s="2" t="s">
        <v>69</v>
      </c>
      <c r="C99" s="2"/>
      <c r="D99" s="2"/>
      <c r="E99" s="2"/>
      <c r="F99" s="2"/>
      <c r="G99" s="2"/>
    </row>
    <row r="100" spans="2:25" ht="15" customHeight="1" x14ac:dyDescent="0.25">
      <c r="B100" s="2" t="s">
        <v>16</v>
      </c>
      <c r="C100" s="2"/>
      <c r="D100" s="2"/>
      <c r="E100" s="2"/>
      <c r="F100" s="2"/>
      <c r="G100" s="2"/>
    </row>
    <row r="101" spans="2:25" ht="15" customHeight="1" x14ac:dyDescent="0.25">
      <c r="B101" s="2" t="s">
        <v>21</v>
      </c>
      <c r="C101" s="2"/>
      <c r="D101" s="2"/>
      <c r="E101" s="2"/>
      <c r="F101" s="2"/>
      <c r="G101" s="2"/>
    </row>
    <row r="102" spans="2:25" ht="15" customHeight="1" x14ac:dyDescent="0.25">
      <c r="B102" s="2"/>
      <c r="C102" s="2"/>
    </row>
    <row r="103" spans="2:25" ht="15" customHeight="1" x14ac:dyDescent="0.25">
      <c r="B103" s="2"/>
      <c r="C103" s="2"/>
    </row>
  </sheetData>
  <mergeCells count="22">
    <mergeCell ref="B2:Y2"/>
    <mergeCell ref="B3:Y3"/>
    <mergeCell ref="B5:B7"/>
    <mergeCell ref="C5:C7"/>
    <mergeCell ref="D5:D7"/>
    <mergeCell ref="E5:E7"/>
    <mergeCell ref="F5:F7"/>
    <mergeCell ref="G5:L5"/>
    <mergeCell ref="M5:O5"/>
    <mergeCell ref="P5:Y5"/>
    <mergeCell ref="X6:Y6"/>
    <mergeCell ref="G6:G7"/>
    <mergeCell ref="H6:I6"/>
    <mergeCell ref="J6:J7"/>
    <mergeCell ref="K6:L6"/>
    <mergeCell ref="M6:M7"/>
    <mergeCell ref="V6:W6"/>
    <mergeCell ref="N6:O6"/>
    <mergeCell ref="P6:P7"/>
    <mergeCell ref="Q6:R6"/>
    <mergeCell ref="S6:S7"/>
    <mergeCell ref="T6:U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INICIO</vt:lpstr>
      <vt:lpstr>EN 0-35m x DEP</vt:lpstr>
      <vt:lpstr>EN 0-35m x DIRESA</vt:lpstr>
      <vt:lpstr>EN 0-35m x DISTRITO</vt:lpstr>
      <vt:lpstr>EN 0-35m x DISTR ZONA</vt:lpstr>
      <vt:lpstr>EN 0-59m x DEP</vt:lpstr>
      <vt:lpstr>EN 0-59m x DIRESA</vt:lpstr>
      <vt:lpstr>EN 0-59m x DISTRITO</vt:lpstr>
      <vt:lpstr>EN 0-59m x DISTR ZONA</vt:lpstr>
      <vt:lpstr>Anemia 6-35m x DEP</vt:lpstr>
      <vt:lpstr>Anemia 6-35m x DIRESA</vt:lpstr>
      <vt:lpstr>Anemia 6-35m x DISTRITO</vt:lpstr>
      <vt:lpstr>Anemia 6-35m x DISTR ZONA</vt:lpstr>
      <vt:lpstr>Anemia 6-59m x DEP</vt:lpstr>
      <vt:lpstr>Anemia 6-59m x DIRESA</vt:lpstr>
      <vt:lpstr>Anemia 6-59m x DISTRITO</vt:lpstr>
      <vt:lpstr>Anemia 6-59m x DISTR ZONA</vt:lpstr>
      <vt:lpstr>distrito035</vt:lpstr>
      <vt:lpstr>distrito059</vt:lpstr>
      <vt:lpstr>distrito635</vt:lpstr>
      <vt:lpstr>distrito659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Buddy Santos Rosso</dc:creator>
  <cp:lastModifiedBy>Buddy Santos Rosso</cp:lastModifiedBy>
  <dcterms:created xsi:type="dcterms:W3CDTF">2017-04-12T15:34:52Z</dcterms:created>
  <dcterms:modified xsi:type="dcterms:W3CDTF">2026-02-05T00:08:57Z</dcterms:modified>
</cp:coreProperties>
</file>